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mon\Shopping List\"/>
    </mc:Choice>
  </mc:AlternateContent>
  <xr:revisionPtr revIDLastSave="0" documentId="8_{4C55EF27-0C61-4E1C-BC16-72415F000D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D11" i="2"/>
  <c r="G11" i="2"/>
  <c r="F12" i="2"/>
  <c r="G12" i="2"/>
  <c r="H12" i="2"/>
  <c r="I12" i="2"/>
  <c r="J12" i="2"/>
  <c r="K12" i="2"/>
  <c r="M12" i="2"/>
  <c r="O12" i="2"/>
  <c r="P12" i="2"/>
  <c r="H13" i="2"/>
  <c r="C15" i="2"/>
  <c r="D15" i="2"/>
  <c r="G15" i="2"/>
  <c r="F16" i="2"/>
  <c r="G16" i="2"/>
  <c r="H16" i="2"/>
  <c r="I16" i="2"/>
  <c r="L16" i="2"/>
  <c r="N16" i="2"/>
  <c r="H17" i="2"/>
  <c r="C19" i="2"/>
  <c r="D19" i="2"/>
  <c r="G19" i="2"/>
  <c r="F20" i="2"/>
  <c r="G20" i="2"/>
  <c r="H20" i="2"/>
  <c r="I20" i="2"/>
  <c r="L20" i="2"/>
  <c r="N20" i="2"/>
  <c r="H21" i="2"/>
  <c r="C23" i="2"/>
  <c r="D23" i="2"/>
  <c r="G23" i="2"/>
  <c r="F24" i="2"/>
  <c r="G24" i="2"/>
  <c r="H24" i="2"/>
  <c r="I24" i="2"/>
  <c r="J24" i="2"/>
  <c r="N24" i="2" s="1"/>
  <c r="K24" i="2"/>
  <c r="M24" i="2"/>
  <c r="O24" i="2"/>
  <c r="P24" i="2"/>
  <c r="H25" i="2"/>
  <c r="C27" i="2"/>
  <c r="D27" i="2"/>
  <c r="G27" i="2"/>
  <c r="F28" i="2"/>
  <c r="G28" i="2"/>
  <c r="H28" i="2"/>
  <c r="I28" i="2"/>
  <c r="L28" i="2"/>
  <c r="N28" i="2"/>
  <c r="H29" i="2"/>
  <c r="F30" i="2"/>
  <c r="G30" i="2"/>
  <c r="H30" i="2"/>
  <c r="I30" i="2"/>
  <c r="L30" i="2"/>
  <c r="N30" i="2"/>
  <c r="H31" i="2"/>
  <c r="F32" i="2"/>
  <c r="G32" i="2"/>
  <c r="H32" i="2"/>
  <c r="I32" i="2"/>
  <c r="L32" i="2"/>
  <c r="N32" i="2"/>
  <c r="H33" i="2"/>
  <c r="F34" i="2"/>
  <c r="G34" i="2"/>
  <c r="B34" i="2" s="1"/>
  <c r="H34" i="2"/>
  <c r="I34" i="2"/>
  <c r="L34" i="2"/>
  <c r="N34" i="2"/>
  <c r="H35" i="2"/>
  <c r="F36" i="2"/>
  <c r="G36" i="2"/>
  <c r="B36" i="2" s="1"/>
  <c r="H36" i="2"/>
  <c r="I36" i="2"/>
  <c r="L36" i="2"/>
  <c r="N36" i="2"/>
  <c r="H37" i="2"/>
  <c r="F38" i="2"/>
  <c r="G38" i="2"/>
  <c r="H38" i="2"/>
  <c r="I38" i="2"/>
  <c r="L38" i="2"/>
  <c r="N38" i="2"/>
  <c r="H39" i="2"/>
  <c r="F40" i="2"/>
  <c r="G40" i="2"/>
  <c r="H40" i="2"/>
  <c r="I40" i="2"/>
  <c r="L40" i="2"/>
  <c r="N40" i="2"/>
  <c r="H41" i="2"/>
  <c r="C43" i="2"/>
  <c r="D43" i="2"/>
  <c r="G43" i="2"/>
  <c r="F44" i="2"/>
  <c r="G44" i="2"/>
  <c r="H44" i="2"/>
  <c r="I44" i="2"/>
  <c r="L44" i="2"/>
  <c r="N44" i="2"/>
  <c r="H45" i="2"/>
  <c r="F46" i="2"/>
  <c r="G46" i="2"/>
  <c r="H46" i="2"/>
  <c r="I46" i="2"/>
  <c r="L46" i="2"/>
  <c r="N46" i="2"/>
  <c r="H47" i="2"/>
  <c r="F48" i="2"/>
  <c r="G48" i="2"/>
  <c r="H48" i="2"/>
  <c r="I48" i="2"/>
  <c r="L48" i="2"/>
  <c r="N48" i="2"/>
  <c r="H49" i="2"/>
  <c r="F50" i="2"/>
  <c r="G50" i="2"/>
  <c r="B51" i="2" s="1"/>
  <c r="H50" i="2"/>
  <c r="I50" i="2"/>
  <c r="L50" i="2"/>
  <c r="N50" i="2"/>
  <c r="H51" i="2"/>
  <c r="C53" i="2"/>
  <c r="D53" i="2"/>
  <c r="G53" i="2"/>
  <c r="F54" i="2"/>
  <c r="G54" i="2"/>
  <c r="H54" i="2"/>
  <c r="I54" i="2"/>
  <c r="J54" i="2"/>
  <c r="L54" i="2" s="1"/>
  <c r="K54" i="2"/>
  <c r="M54" i="2"/>
  <c r="N54" i="2" s="1"/>
  <c r="O54" i="2"/>
  <c r="P54" i="2"/>
  <c r="H55" i="2"/>
  <c r="C57" i="2"/>
  <c r="D57" i="2"/>
  <c r="G57" i="2"/>
  <c r="F58" i="2"/>
  <c r="G58" i="2"/>
  <c r="H58" i="2"/>
  <c r="I58" i="2"/>
  <c r="L58" i="2"/>
  <c r="N58" i="2"/>
  <c r="H59" i="2"/>
  <c r="C61" i="2"/>
  <c r="D61" i="2"/>
  <c r="G61" i="2"/>
  <c r="F62" i="2"/>
  <c r="G62" i="2"/>
  <c r="H62" i="2"/>
  <c r="I62" i="2"/>
  <c r="J62" i="2"/>
  <c r="K62" i="2"/>
  <c r="L62" i="2" s="1"/>
  <c r="M62" i="2"/>
  <c r="O62" i="2"/>
  <c r="P62" i="2"/>
  <c r="H63" i="2"/>
  <c r="C65" i="2"/>
  <c r="D65" i="2"/>
  <c r="G65" i="2"/>
  <c r="F66" i="2"/>
  <c r="G66" i="2"/>
  <c r="H66" i="2"/>
  <c r="I66" i="2"/>
  <c r="L66" i="2"/>
  <c r="N66" i="2"/>
  <c r="H67" i="2"/>
  <c r="F68" i="2"/>
  <c r="G68" i="2"/>
  <c r="B69" i="2" s="1"/>
  <c r="H68" i="2"/>
  <c r="I68" i="2"/>
  <c r="L68" i="2"/>
  <c r="N68" i="2"/>
  <c r="H69" i="2"/>
  <c r="C71" i="2"/>
  <c r="D71" i="2"/>
  <c r="G71" i="2"/>
  <c r="F72" i="2"/>
  <c r="G72" i="2"/>
  <c r="H72" i="2"/>
  <c r="I72" i="2"/>
  <c r="L72" i="2"/>
  <c r="N72" i="2"/>
  <c r="H73" i="2"/>
  <c r="F74" i="2"/>
  <c r="G74" i="2"/>
  <c r="B74" i="2" s="1"/>
  <c r="H74" i="2"/>
  <c r="I74" i="2"/>
  <c r="L74" i="2"/>
  <c r="N74" i="2"/>
  <c r="H75" i="2"/>
  <c r="F76" i="2"/>
  <c r="G76" i="2"/>
  <c r="B77" i="2" s="1"/>
  <c r="H76" i="2"/>
  <c r="I76" i="2"/>
  <c r="L76" i="2"/>
  <c r="N76" i="2"/>
  <c r="H77" i="2"/>
  <c r="F78" i="2"/>
  <c r="G78" i="2"/>
  <c r="H78" i="2"/>
  <c r="I78" i="2"/>
  <c r="L78" i="2"/>
  <c r="N78" i="2"/>
  <c r="H79" i="2"/>
  <c r="F80" i="2"/>
  <c r="G80" i="2"/>
  <c r="H80" i="2"/>
  <c r="I80" i="2"/>
  <c r="L80" i="2"/>
  <c r="N80" i="2"/>
  <c r="H81" i="2"/>
  <c r="F82" i="2"/>
  <c r="G82" i="2"/>
  <c r="B82" i="2" s="1"/>
  <c r="H82" i="2"/>
  <c r="I82" i="2"/>
  <c r="L82" i="2"/>
  <c r="N82" i="2"/>
  <c r="H83" i="2"/>
  <c r="F84" i="2"/>
  <c r="G84" i="2"/>
  <c r="B85" i="2" s="1"/>
  <c r="H84" i="2"/>
  <c r="I84" i="2"/>
  <c r="L84" i="2"/>
  <c r="N84" i="2"/>
  <c r="H85" i="2"/>
  <c r="F86" i="2"/>
  <c r="G86" i="2"/>
  <c r="H86" i="2"/>
  <c r="I86" i="2"/>
  <c r="L86" i="2"/>
  <c r="N86" i="2"/>
  <c r="H87" i="2"/>
  <c r="C89" i="2"/>
  <c r="D89" i="2"/>
  <c r="G89" i="2"/>
  <c r="F90" i="2"/>
  <c r="G90" i="2"/>
  <c r="B89" i="2" s="1"/>
  <c r="H90" i="2"/>
  <c r="I90" i="2"/>
  <c r="J90" i="2"/>
  <c r="K90" i="2"/>
  <c r="M90" i="2"/>
  <c r="N90" i="2" s="1"/>
  <c r="O90" i="2"/>
  <c r="P90" i="2"/>
  <c r="H91" i="2"/>
  <c r="C93" i="2"/>
  <c r="D93" i="2"/>
  <c r="G93" i="2"/>
  <c r="F94" i="2"/>
  <c r="G94" i="2"/>
  <c r="H94" i="2"/>
  <c r="I94" i="2"/>
  <c r="L94" i="2"/>
  <c r="N94" i="2"/>
  <c r="H95" i="2"/>
  <c r="F96" i="2"/>
  <c r="G96" i="2"/>
  <c r="H96" i="2"/>
  <c r="I96" i="2"/>
  <c r="L96" i="2"/>
  <c r="N96" i="2"/>
  <c r="H97" i="2"/>
  <c r="C99" i="2"/>
  <c r="D99" i="2"/>
  <c r="G99" i="2"/>
  <c r="F100" i="2"/>
  <c r="G100" i="2"/>
  <c r="H100" i="2"/>
  <c r="I100" i="2"/>
  <c r="L100" i="2"/>
  <c r="N100" i="2"/>
  <c r="H101" i="2"/>
  <c r="C103" i="2"/>
  <c r="D103" i="2"/>
  <c r="G103" i="2"/>
  <c r="F104" i="2"/>
  <c r="G104" i="2"/>
  <c r="H104" i="2"/>
  <c r="I104" i="2"/>
  <c r="J104" i="2"/>
  <c r="N104" i="2" s="1"/>
  <c r="K104" i="2"/>
  <c r="L104" i="2" s="1"/>
  <c r="M104" i="2"/>
  <c r="O104" i="2"/>
  <c r="P104" i="2"/>
  <c r="H105" i="2"/>
  <c r="C107" i="2"/>
  <c r="D107" i="2"/>
  <c r="G107" i="2"/>
  <c r="F108" i="2"/>
  <c r="G108" i="2"/>
  <c r="H108" i="2"/>
  <c r="I108" i="2"/>
  <c r="J108" i="2"/>
  <c r="K108" i="2"/>
  <c r="L108" i="2" s="1"/>
  <c r="M108" i="2"/>
  <c r="N108" i="2" s="1"/>
  <c r="O108" i="2"/>
  <c r="P108" i="2"/>
  <c r="H109" i="2"/>
  <c r="C111" i="2"/>
  <c r="D111" i="2"/>
  <c r="G111" i="2"/>
  <c r="F112" i="2"/>
  <c r="G112" i="2"/>
  <c r="H112" i="2"/>
  <c r="I112" i="2"/>
  <c r="J112" i="2"/>
  <c r="N112" i="2" s="1"/>
  <c r="K112" i="2"/>
  <c r="L112" i="2" s="1"/>
  <c r="M112" i="2"/>
  <c r="O112" i="2"/>
  <c r="P112" i="2"/>
  <c r="H113" i="2"/>
  <c r="C115" i="2"/>
  <c r="D115" i="2"/>
  <c r="G115" i="2"/>
  <c r="F116" i="2"/>
  <c r="G116" i="2"/>
  <c r="B115" i="2" s="1"/>
  <c r="H116" i="2"/>
  <c r="I116" i="2"/>
  <c r="J116" i="2"/>
  <c r="K116" i="2"/>
  <c r="L116" i="2" s="1"/>
  <c r="M116" i="2"/>
  <c r="N116" i="2" s="1"/>
  <c r="O116" i="2"/>
  <c r="P116" i="2"/>
  <c r="H117" i="2"/>
  <c r="C119" i="2"/>
  <c r="D119" i="2"/>
  <c r="G119" i="2"/>
  <c r="F120" i="2"/>
  <c r="G120" i="2"/>
  <c r="H120" i="2"/>
  <c r="I120" i="2"/>
  <c r="J120" i="2"/>
  <c r="K120" i="2"/>
  <c r="L120" i="2" s="1"/>
  <c r="M120" i="2"/>
  <c r="N120" i="2"/>
  <c r="O120" i="2"/>
  <c r="P120" i="2"/>
  <c r="H121" i="2"/>
  <c r="C123" i="2"/>
  <c r="D123" i="2"/>
  <c r="G123" i="2"/>
  <c r="F124" i="2"/>
  <c r="G124" i="2"/>
  <c r="H124" i="2"/>
  <c r="I124" i="2"/>
  <c r="J124" i="2"/>
  <c r="K124" i="2"/>
  <c r="L124" i="2" s="1"/>
  <c r="M124" i="2"/>
  <c r="N124" i="2" s="1"/>
  <c r="O124" i="2"/>
  <c r="P124" i="2"/>
  <c r="H125" i="2"/>
  <c r="C127" i="2"/>
  <c r="D127" i="2"/>
  <c r="G127" i="2"/>
  <c r="F128" i="2"/>
  <c r="G128" i="2"/>
  <c r="H128" i="2"/>
  <c r="I128" i="2"/>
  <c r="L128" i="2"/>
  <c r="N128" i="2"/>
  <c r="H129" i="2"/>
  <c r="C131" i="2"/>
  <c r="D131" i="2"/>
  <c r="G131" i="2"/>
  <c r="F132" i="2"/>
  <c r="G132" i="2"/>
  <c r="H132" i="2"/>
  <c r="I132" i="2"/>
  <c r="J132" i="2"/>
  <c r="K132" i="2"/>
  <c r="M132" i="2"/>
  <c r="O132" i="2"/>
  <c r="P132" i="2"/>
  <c r="H133" i="2"/>
  <c r="C135" i="2"/>
  <c r="D135" i="2"/>
  <c r="G135" i="2"/>
  <c r="F136" i="2"/>
  <c r="G136" i="2"/>
  <c r="H136" i="2"/>
  <c r="I136" i="2"/>
  <c r="J136" i="2"/>
  <c r="K136" i="2"/>
  <c r="L136" i="2" s="1"/>
  <c r="M136" i="2"/>
  <c r="O136" i="2"/>
  <c r="P136" i="2"/>
  <c r="H137" i="2"/>
  <c r="C139" i="2"/>
  <c r="D139" i="2"/>
  <c r="G139" i="2"/>
  <c r="F140" i="2"/>
  <c r="G140" i="2"/>
  <c r="H140" i="2"/>
  <c r="I140" i="2"/>
  <c r="L140" i="2"/>
  <c r="N140" i="2"/>
  <c r="H141" i="2"/>
  <c r="C143" i="2"/>
  <c r="D143" i="2"/>
  <c r="G143" i="2"/>
  <c r="F144" i="2"/>
  <c r="G144" i="2"/>
  <c r="H144" i="2"/>
  <c r="I144" i="2"/>
  <c r="J144" i="2"/>
  <c r="K144" i="2"/>
  <c r="L144" i="2"/>
  <c r="M144" i="2"/>
  <c r="N144" i="2" s="1"/>
  <c r="O144" i="2"/>
  <c r="P144" i="2"/>
  <c r="H145" i="2"/>
  <c r="C147" i="2"/>
  <c r="D147" i="2"/>
  <c r="G147" i="2"/>
  <c r="F148" i="2"/>
  <c r="G148" i="2"/>
  <c r="H148" i="2"/>
  <c r="I148" i="2"/>
  <c r="J148" i="2"/>
  <c r="K148" i="2"/>
  <c r="M148" i="2"/>
  <c r="O148" i="2"/>
  <c r="P148" i="2"/>
  <c r="H149" i="2"/>
  <c r="C151" i="2"/>
  <c r="D151" i="2"/>
  <c r="G151" i="2"/>
  <c r="F152" i="2"/>
  <c r="G152" i="2"/>
  <c r="H152" i="2"/>
  <c r="I152" i="2"/>
  <c r="L152" i="2"/>
  <c r="N152" i="2"/>
  <c r="H153" i="2"/>
  <c r="F154" i="2"/>
  <c r="G154" i="2"/>
  <c r="H154" i="2"/>
  <c r="I154" i="2"/>
  <c r="L154" i="2"/>
  <c r="N154" i="2"/>
  <c r="H155" i="2"/>
  <c r="F156" i="2"/>
  <c r="G156" i="2"/>
  <c r="H156" i="2"/>
  <c r="I156" i="2"/>
  <c r="L156" i="2"/>
  <c r="N156" i="2"/>
  <c r="H157" i="2"/>
  <c r="F158" i="2"/>
  <c r="G158" i="2"/>
  <c r="B159" i="2" s="1"/>
  <c r="H158" i="2"/>
  <c r="I158" i="2"/>
  <c r="L158" i="2"/>
  <c r="N158" i="2"/>
  <c r="H159" i="2"/>
  <c r="F160" i="2"/>
  <c r="G160" i="2"/>
  <c r="H160" i="2"/>
  <c r="I160" i="2"/>
  <c r="L160" i="2"/>
  <c r="N160" i="2"/>
  <c r="H161" i="2"/>
  <c r="F162" i="2"/>
  <c r="G162" i="2"/>
  <c r="H162" i="2"/>
  <c r="I162" i="2"/>
  <c r="L162" i="2"/>
  <c r="N162" i="2"/>
  <c r="H163" i="2"/>
  <c r="F164" i="2"/>
  <c r="G164" i="2"/>
  <c r="H164" i="2"/>
  <c r="I164" i="2"/>
  <c r="L164" i="2"/>
  <c r="N164" i="2"/>
  <c r="H165" i="2"/>
  <c r="F166" i="2"/>
  <c r="G166" i="2"/>
  <c r="B167" i="2" s="1"/>
  <c r="H166" i="2"/>
  <c r="I166" i="2"/>
  <c r="L166" i="2"/>
  <c r="N166" i="2"/>
  <c r="R166" i="2" s="1"/>
  <c r="H167" i="2"/>
  <c r="F168" i="2"/>
  <c r="G168" i="2"/>
  <c r="H168" i="2"/>
  <c r="I168" i="2"/>
  <c r="L168" i="2"/>
  <c r="N168" i="2"/>
  <c r="H169" i="2"/>
  <c r="F170" i="2"/>
  <c r="G170" i="2"/>
  <c r="H170" i="2"/>
  <c r="I170" i="2"/>
  <c r="L170" i="2"/>
  <c r="N170" i="2"/>
  <c r="H171" i="2"/>
  <c r="F172" i="2"/>
  <c r="G172" i="2"/>
  <c r="H172" i="2"/>
  <c r="I172" i="2"/>
  <c r="L172" i="2"/>
  <c r="N172" i="2"/>
  <c r="H173" i="2"/>
  <c r="F174" i="2"/>
  <c r="G174" i="2"/>
  <c r="B175" i="2" s="1"/>
  <c r="H174" i="2"/>
  <c r="I174" i="2"/>
  <c r="L174" i="2"/>
  <c r="N174" i="2"/>
  <c r="H175" i="2"/>
  <c r="F176" i="2"/>
  <c r="G176" i="2"/>
  <c r="H176" i="2"/>
  <c r="I176" i="2"/>
  <c r="L176" i="2"/>
  <c r="N176" i="2"/>
  <c r="H177" i="2"/>
  <c r="F178" i="2"/>
  <c r="G178" i="2"/>
  <c r="H178" i="2"/>
  <c r="I178" i="2"/>
  <c r="L178" i="2"/>
  <c r="N178" i="2"/>
  <c r="H179" i="2"/>
  <c r="F180" i="2"/>
  <c r="G180" i="2"/>
  <c r="H180" i="2"/>
  <c r="I180" i="2"/>
  <c r="L180" i="2"/>
  <c r="N180" i="2"/>
  <c r="H181" i="2"/>
  <c r="F182" i="2"/>
  <c r="G182" i="2"/>
  <c r="B183" i="2" s="1"/>
  <c r="H182" i="2"/>
  <c r="I182" i="2"/>
  <c r="L182" i="2"/>
  <c r="N182" i="2"/>
  <c r="H183" i="2"/>
  <c r="F184" i="2"/>
  <c r="G184" i="2"/>
  <c r="H184" i="2"/>
  <c r="I184" i="2"/>
  <c r="L184" i="2"/>
  <c r="N184" i="2"/>
  <c r="H185" i="2"/>
  <c r="F186" i="2"/>
  <c r="G186" i="2"/>
  <c r="H186" i="2"/>
  <c r="I186" i="2"/>
  <c r="L186" i="2"/>
  <c r="N186" i="2"/>
  <c r="H187" i="2"/>
  <c r="F188" i="2"/>
  <c r="G188" i="2"/>
  <c r="H188" i="2"/>
  <c r="I188" i="2"/>
  <c r="L188" i="2"/>
  <c r="N188" i="2"/>
  <c r="H189" i="2"/>
  <c r="F190" i="2"/>
  <c r="G190" i="2"/>
  <c r="B191" i="2" s="1"/>
  <c r="H190" i="2"/>
  <c r="I190" i="2"/>
  <c r="L190" i="2"/>
  <c r="N190" i="2"/>
  <c r="H191" i="2"/>
  <c r="C193" i="2"/>
  <c r="D193" i="2"/>
  <c r="G193" i="2"/>
  <c r="F194" i="2"/>
  <c r="G194" i="2"/>
  <c r="H194" i="2"/>
  <c r="I194" i="2"/>
  <c r="L194" i="2"/>
  <c r="N194" i="2"/>
  <c r="H195" i="2"/>
  <c r="F196" i="2"/>
  <c r="G196" i="2"/>
  <c r="H196" i="2"/>
  <c r="I196" i="2"/>
  <c r="L196" i="2"/>
  <c r="N196" i="2"/>
  <c r="H197" i="2"/>
  <c r="C199" i="2"/>
  <c r="D199" i="2"/>
  <c r="G199" i="2"/>
  <c r="F200" i="2"/>
  <c r="G200" i="2"/>
  <c r="H200" i="2"/>
  <c r="I200" i="2"/>
  <c r="J200" i="2"/>
  <c r="K200" i="2"/>
  <c r="L200" i="2"/>
  <c r="M200" i="2"/>
  <c r="N200" i="2" s="1"/>
  <c r="O200" i="2"/>
  <c r="P200" i="2"/>
  <c r="H201" i="2"/>
  <c r="C203" i="2"/>
  <c r="D203" i="2"/>
  <c r="G203" i="2"/>
  <c r="F204" i="2"/>
  <c r="G204" i="2"/>
  <c r="H204" i="2"/>
  <c r="I204" i="2"/>
  <c r="J204" i="2"/>
  <c r="K204" i="2"/>
  <c r="M204" i="2"/>
  <c r="O204" i="2"/>
  <c r="P204" i="2"/>
  <c r="H205" i="2"/>
  <c r="C207" i="2"/>
  <c r="D207" i="2"/>
  <c r="G207" i="2"/>
  <c r="F208" i="2"/>
  <c r="G208" i="2"/>
  <c r="H208" i="2"/>
  <c r="I208" i="2"/>
  <c r="J208" i="2"/>
  <c r="K208" i="2"/>
  <c r="L208" i="2"/>
  <c r="M208" i="2"/>
  <c r="N208" i="2" s="1"/>
  <c r="O208" i="2"/>
  <c r="P208" i="2"/>
  <c r="H209" i="2"/>
  <c r="C211" i="2"/>
  <c r="D211" i="2"/>
  <c r="G211" i="2"/>
  <c r="F212" i="2"/>
  <c r="G212" i="2"/>
  <c r="H212" i="2"/>
  <c r="I212" i="2"/>
  <c r="L212" i="2"/>
  <c r="N212" i="2"/>
  <c r="H213" i="2"/>
  <c r="F214" i="2"/>
  <c r="G214" i="2"/>
  <c r="H214" i="2"/>
  <c r="I214" i="2"/>
  <c r="L214" i="2"/>
  <c r="N214" i="2"/>
  <c r="H215" i="2"/>
  <c r="F216" i="2"/>
  <c r="G216" i="2"/>
  <c r="B217" i="2" s="1"/>
  <c r="H216" i="2"/>
  <c r="I216" i="2"/>
  <c r="L216" i="2"/>
  <c r="N216" i="2"/>
  <c r="H217" i="2"/>
  <c r="F218" i="2"/>
  <c r="G218" i="2"/>
  <c r="H218" i="2"/>
  <c r="I218" i="2"/>
  <c r="L218" i="2"/>
  <c r="N218" i="2"/>
  <c r="H219" i="2"/>
  <c r="F220" i="2"/>
  <c r="G220" i="2"/>
  <c r="B221" i="2" s="1"/>
  <c r="H220" i="2"/>
  <c r="I220" i="2"/>
  <c r="L220" i="2"/>
  <c r="N220" i="2"/>
  <c r="Q16" i="2"/>
  <c r="B17" i="2"/>
  <c r="B41" i="2"/>
  <c r="Q40" i="2"/>
  <c r="B40" i="2"/>
  <c r="B39" i="2"/>
  <c r="Q38" i="2"/>
  <c r="B38" i="2"/>
  <c r="Q36" i="2"/>
  <c r="B35" i="2"/>
  <c r="Q34" i="2"/>
  <c r="B33" i="2"/>
  <c r="Q32" i="2"/>
  <c r="B32" i="2"/>
  <c r="B31" i="2"/>
  <c r="Q30" i="2"/>
  <c r="B30" i="2"/>
  <c r="Q50" i="2"/>
  <c r="B49" i="2"/>
  <c r="Q48" i="2"/>
  <c r="B48" i="2"/>
  <c r="B47" i="2"/>
  <c r="Q46" i="2"/>
  <c r="B46" i="2"/>
  <c r="Q68" i="2"/>
  <c r="B87" i="2"/>
  <c r="Q86" i="2"/>
  <c r="B86" i="2"/>
  <c r="Q84" i="2"/>
  <c r="B84" i="2"/>
  <c r="B83" i="2"/>
  <c r="Q82" i="2"/>
  <c r="B81" i="2"/>
  <c r="Q80" i="2"/>
  <c r="B80" i="2"/>
  <c r="B79" i="2"/>
  <c r="Q78" i="2"/>
  <c r="B78" i="2"/>
  <c r="Q76" i="2"/>
  <c r="B76" i="2"/>
  <c r="Q74" i="2"/>
  <c r="Q96" i="2"/>
  <c r="B97" i="2"/>
  <c r="B96" i="2"/>
  <c r="Q190" i="2"/>
  <c r="B189" i="2"/>
  <c r="Q188" i="2"/>
  <c r="B188" i="2"/>
  <c r="B187" i="2"/>
  <c r="Q186" i="2"/>
  <c r="B186" i="2"/>
  <c r="B185" i="2"/>
  <c r="Q184" i="2"/>
  <c r="R184" i="2" s="1"/>
  <c r="B184" i="2"/>
  <c r="Q182" i="2"/>
  <c r="B181" i="2"/>
  <c r="Q180" i="2"/>
  <c r="B180" i="2"/>
  <c r="B179" i="2"/>
  <c r="Q178" i="2"/>
  <c r="B178" i="2"/>
  <c r="B177" i="2"/>
  <c r="Q176" i="2"/>
  <c r="R176" i="2" s="1"/>
  <c r="B176" i="2"/>
  <c r="Q174" i="2"/>
  <c r="B173" i="2"/>
  <c r="Q172" i="2"/>
  <c r="B172" i="2"/>
  <c r="B171" i="2"/>
  <c r="Q170" i="2"/>
  <c r="B170" i="2"/>
  <c r="B169" i="2"/>
  <c r="Q168" i="2"/>
  <c r="R168" i="2" s="1"/>
  <c r="B168" i="2"/>
  <c r="Q166" i="2"/>
  <c r="B166" i="2"/>
  <c r="B165" i="2"/>
  <c r="Q164" i="2"/>
  <c r="B164" i="2"/>
  <c r="B163" i="2"/>
  <c r="Q162" i="2"/>
  <c r="B162" i="2"/>
  <c r="B161" i="2"/>
  <c r="Q160" i="2"/>
  <c r="R160" i="2" s="1"/>
  <c r="B160" i="2"/>
  <c r="Q158" i="2"/>
  <c r="B157" i="2"/>
  <c r="Q156" i="2"/>
  <c r="B156" i="2"/>
  <c r="B155" i="2"/>
  <c r="Q154" i="2"/>
  <c r="B154" i="2"/>
  <c r="B197" i="2"/>
  <c r="H221" i="2"/>
  <c r="Q220" i="2"/>
  <c r="B219" i="2"/>
  <c r="Q218" i="2"/>
  <c r="B218" i="2"/>
  <c r="Q216" i="2"/>
  <c r="B215" i="2"/>
  <c r="Q214" i="2"/>
  <c r="B214" i="2"/>
  <c r="B123" i="2"/>
  <c r="B158" i="2" l="1"/>
  <c r="B75" i="2"/>
  <c r="B50" i="2"/>
  <c r="N204" i="2"/>
  <c r="N148" i="2"/>
  <c r="L90" i="2"/>
  <c r="R214" i="2"/>
  <c r="L204" i="2"/>
  <c r="L148" i="2"/>
  <c r="L132" i="2"/>
  <c r="L24" i="2"/>
  <c r="N12" i="2"/>
  <c r="L12" i="2"/>
  <c r="B37" i="2"/>
  <c r="N132" i="2"/>
  <c r="R158" i="2"/>
  <c r="B182" i="2"/>
  <c r="B216" i="2"/>
  <c r="R164" i="2"/>
  <c r="R174" i="2"/>
  <c r="R182" i="2"/>
  <c r="B68" i="2"/>
  <c r="B174" i="2"/>
  <c r="R156" i="2"/>
  <c r="R216" i="2"/>
  <c r="R172" i="2"/>
  <c r="R180" i="2"/>
  <c r="R188" i="2"/>
  <c r="N136" i="2"/>
  <c r="N62" i="2"/>
  <c r="R218" i="2"/>
  <c r="B220" i="2"/>
  <c r="R74" i="2"/>
  <c r="R78" i="2"/>
  <c r="R50" i="2"/>
  <c r="R40" i="2"/>
  <c r="R82" i="2"/>
  <c r="R86" i="2"/>
  <c r="R46" i="2"/>
  <c r="R32" i="2"/>
  <c r="R36" i="2"/>
  <c r="R220" i="2"/>
  <c r="R154" i="2"/>
  <c r="R162" i="2"/>
  <c r="R170" i="2"/>
  <c r="R178" i="2"/>
  <c r="R186" i="2"/>
  <c r="R190" i="2"/>
  <c r="R96" i="2"/>
  <c r="R76" i="2"/>
  <c r="R80" i="2"/>
  <c r="R84" i="2"/>
  <c r="R68" i="2"/>
  <c r="R48" i="2"/>
  <c r="R30" i="2"/>
  <c r="R34" i="2"/>
  <c r="R38" i="2"/>
  <c r="R16" i="2"/>
  <c r="B196" i="2"/>
  <c r="Q196" i="2"/>
  <c r="B190" i="2"/>
  <c r="B16" i="2"/>
  <c r="Q20" i="2"/>
  <c r="Q24" i="2"/>
  <c r="Q28" i="2"/>
  <c r="Q58" i="2"/>
  <c r="B65" i="2"/>
  <c r="B70" i="2"/>
  <c r="B66" i="2"/>
  <c r="B67" i="2"/>
  <c r="B91" i="2"/>
  <c r="B117" i="2"/>
  <c r="B125" i="2"/>
  <c r="Q66" i="2"/>
  <c r="Q90" i="2"/>
  <c r="B90" i="2"/>
  <c r="B92" i="2"/>
  <c r="Q100" i="2"/>
  <c r="Q108" i="2"/>
  <c r="Q116" i="2"/>
  <c r="B116" i="2"/>
  <c r="B118" i="2"/>
  <c r="Q124" i="2"/>
  <c r="B124" i="2"/>
  <c r="B126" i="2"/>
  <c r="Q132" i="2"/>
  <c r="Q136" i="2"/>
  <c r="Q144" i="2"/>
  <c r="Q152" i="2"/>
  <c r="Q200" i="2"/>
  <c r="R196" i="2" l="1"/>
  <c r="Q208" i="2"/>
  <c r="B206" i="2"/>
  <c r="B205" i="2"/>
  <c r="B204" i="2"/>
  <c r="B203" i="2"/>
  <c r="B150" i="2"/>
  <c r="B149" i="2"/>
  <c r="B148" i="2"/>
  <c r="B147" i="2"/>
  <c r="Q204" i="2"/>
  <c r="R200" i="2"/>
  <c r="Q194" i="2"/>
  <c r="R152" i="2"/>
  <c r="Q148" i="2"/>
  <c r="R144" i="2"/>
  <c r="Q140" i="2"/>
  <c r="B138" i="2"/>
  <c r="B137" i="2"/>
  <c r="B135" i="2"/>
  <c r="B136" i="2"/>
  <c r="R124" i="2"/>
  <c r="B119" i="2"/>
  <c r="B121" i="2"/>
  <c r="B122" i="2"/>
  <c r="B120" i="2"/>
  <c r="B103" i="2"/>
  <c r="B105" i="2"/>
  <c r="B106" i="2"/>
  <c r="B104" i="2"/>
  <c r="R90" i="2"/>
  <c r="B71" i="2"/>
  <c r="B73" i="2"/>
  <c r="B88" i="2"/>
  <c r="B72" i="2"/>
  <c r="R136" i="2"/>
  <c r="B131" i="2"/>
  <c r="B134" i="2"/>
  <c r="B132" i="2"/>
  <c r="B133" i="2"/>
  <c r="B107" i="2"/>
  <c r="B110" i="2"/>
  <c r="B108" i="2"/>
  <c r="B109" i="2"/>
  <c r="B99" i="2"/>
  <c r="B102" i="2"/>
  <c r="B100" i="2"/>
  <c r="B101" i="2"/>
  <c r="B52" i="2"/>
  <c r="B44" i="2"/>
  <c r="B43" i="2"/>
  <c r="B45" i="2"/>
  <c r="B42" i="2"/>
  <c r="B29" i="2"/>
  <c r="B28" i="2"/>
  <c r="B27" i="2"/>
  <c r="B26" i="2"/>
  <c r="B25" i="2"/>
  <c r="B24" i="2"/>
  <c r="B23" i="2"/>
  <c r="B22" i="2"/>
  <c r="B21" i="2"/>
  <c r="B20" i="2"/>
  <c r="B19" i="2"/>
  <c r="B18" i="2"/>
  <c r="B15" i="2"/>
  <c r="R28" i="2"/>
  <c r="R24" i="2"/>
  <c r="Q62" i="2"/>
  <c r="B60" i="2"/>
  <c r="B57" i="2"/>
  <c r="B59" i="2"/>
  <c r="B58" i="2"/>
  <c r="B211" i="2"/>
  <c r="B222" i="2"/>
  <c r="B213" i="2"/>
  <c r="B212" i="2"/>
  <c r="R208" i="2"/>
  <c r="B210" i="2"/>
  <c r="B209" i="2"/>
  <c r="B208" i="2"/>
  <c r="B207" i="2"/>
  <c r="Q212" i="2"/>
  <c r="B198" i="2"/>
  <c r="B195" i="2"/>
  <c r="B194" i="2"/>
  <c r="B193" i="2"/>
  <c r="B142" i="2"/>
  <c r="B141" i="2"/>
  <c r="B140" i="2"/>
  <c r="B139" i="2"/>
  <c r="B202" i="2"/>
  <c r="B201" i="2"/>
  <c r="B200" i="2"/>
  <c r="B199" i="2"/>
  <c r="B192" i="2"/>
  <c r="B153" i="2"/>
  <c r="B152" i="2"/>
  <c r="B151" i="2"/>
  <c r="B146" i="2"/>
  <c r="B145" i="2"/>
  <c r="B144" i="2"/>
  <c r="B143" i="2"/>
  <c r="B127" i="2"/>
  <c r="B129" i="2"/>
  <c r="B130" i="2"/>
  <c r="B128" i="2"/>
  <c r="R116" i="2"/>
  <c r="B111" i="2"/>
  <c r="B113" i="2"/>
  <c r="B114" i="2"/>
  <c r="B112" i="2"/>
  <c r="B93" i="2"/>
  <c r="B95" i="2"/>
  <c r="B98" i="2"/>
  <c r="B94" i="2"/>
  <c r="R66" i="2"/>
  <c r="R132" i="2"/>
  <c r="Q128" i="2"/>
  <c r="R128" i="2" s="1"/>
  <c r="Q120" i="2"/>
  <c r="R120" i="2" s="1"/>
  <c r="Q112" i="2"/>
  <c r="R112" i="2" s="1"/>
  <c r="Q104" i="2"/>
  <c r="R104" i="2" s="1"/>
  <c r="R100" i="2"/>
  <c r="Q94" i="2"/>
  <c r="R94" i="2" s="1"/>
  <c r="Q72" i="2"/>
  <c r="R72" i="2" s="1"/>
  <c r="R58" i="2"/>
  <c r="B53" i="2"/>
  <c r="B55" i="2"/>
  <c r="B56" i="2"/>
  <c r="B54" i="2"/>
  <c r="B61" i="2"/>
  <c r="B63" i="2"/>
  <c r="B64" i="2"/>
  <c r="B62" i="2"/>
  <c r="Q54" i="2"/>
  <c r="R54" i="2" s="1"/>
  <c r="Q44" i="2"/>
  <c r="R44" i="2" s="1"/>
  <c r="R20" i="2"/>
  <c r="Q12" i="2"/>
  <c r="R12" i="2" s="1"/>
  <c r="B11" i="2"/>
  <c r="B12" i="2"/>
  <c r="B13" i="2"/>
  <c r="B14" i="2"/>
  <c r="R108" i="2" l="1"/>
  <c r="R212" i="2"/>
  <c r="R62" i="2"/>
  <c r="R140" i="2"/>
  <c r="R148" i="2"/>
  <c r="R194" i="2"/>
  <c r="R204" i="2"/>
</calcChain>
</file>

<file path=xl/sharedStrings.xml><?xml version="1.0" encoding="utf-8"?>
<sst xmlns="http://schemas.openxmlformats.org/spreadsheetml/2006/main" count="278" uniqueCount="29">
  <si>
    <t>Auto+Hide</t>
  </si>
  <si>
    <t>Description</t>
  </si>
  <si>
    <t>fit</t>
  </si>
  <si>
    <t>hide</t>
  </si>
  <si>
    <t>Unit Type</t>
  </si>
  <si>
    <t>CAF</t>
  </si>
  <si>
    <t>Quantity</t>
  </si>
  <si>
    <t>Hide</t>
  </si>
  <si>
    <t>Code</t>
  </si>
  <si>
    <t>Key</t>
  </si>
  <si>
    <t>********</t>
  </si>
  <si>
    <t>Item Number</t>
  </si>
  <si>
    <t>Gross Weight</t>
  </si>
  <si>
    <t>key</t>
  </si>
  <si>
    <t>Shared Maintenance Fee</t>
  </si>
  <si>
    <t>Handling</t>
  </si>
  <si>
    <t>Agency:</t>
  </si>
  <si>
    <t>Shopper</t>
  </si>
  <si>
    <t>Purchased cost</t>
  </si>
  <si>
    <t>hide+?</t>
  </si>
  <si>
    <t>Handling/lb</t>
  </si>
  <si>
    <t>VAP/lb</t>
  </si>
  <si>
    <t>Unit</t>
  </si>
  <si>
    <t>VPA</t>
  </si>
  <si>
    <t>Fit</t>
  </si>
  <si>
    <t xml:space="preserve">The Community Pantry Shopping List </t>
  </si>
  <si>
    <t>Auto+Hide+values</t>
  </si>
  <si>
    <t>Auto</t>
  </si>
  <si>
    <t>Date:__8/3/20_______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</si>
</sst>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2"/>
  <sheetViews>
    <sheetView tabSelected="1" topLeftCell="E46" workbookViewId="0">
      <selection activeCell="H10" sqref="H10"/>
    </sheetView>
  </sheetViews>
  <sheetFormatPr defaultRowHeight="15" x14ac:dyDescent="0.25"/>
  <cols>
    <col min="1" max="4" width="9.140625" hidden="1" customWidth="1"/>
    <col min="5" max="5" width="10.7109375" bestFit="1" customWidth="1"/>
    <col min="6" max="6" width="9.140625" hidden="1" customWidth="1"/>
    <col min="7" max="7" width="10.7109375" customWidth="1"/>
    <col min="8" max="8" width="47.28515625" bestFit="1" customWidth="1"/>
    <col min="9" max="9" width="5.28515625" bestFit="1" customWidth="1"/>
    <col min="10" max="10" width="12.7109375" bestFit="1" customWidth="1"/>
    <col min="11" max="17" width="8.42578125" hidden="1" customWidth="1"/>
    <col min="18" max="18" width="15.42578125" customWidth="1"/>
    <col min="21" max="21" width="14" bestFit="1" customWidth="1"/>
  </cols>
  <sheetData>
    <row r="1" spans="1:21" hidden="1" x14ac:dyDescent="0.25">
      <c r="A1" t="s">
        <v>26</v>
      </c>
      <c r="B1" t="s">
        <v>19</v>
      </c>
      <c r="C1" t="s">
        <v>3</v>
      </c>
      <c r="D1" t="s">
        <v>7</v>
      </c>
      <c r="E1" t="s">
        <v>2</v>
      </c>
      <c r="F1" t="s">
        <v>7</v>
      </c>
      <c r="H1" t="s">
        <v>2</v>
      </c>
      <c r="I1" t="s">
        <v>24</v>
      </c>
      <c r="J1" t="s">
        <v>24</v>
      </c>
      <c r="K1" t="s">
        <v>3</v>
      </c>
      <c r="L1" t="s">
        <v>7</v>
      </c>
      <c r="M1" t="s">
        <v>3</v>
      </c>
      <c r="N1" t="s">
        <v>7</v>
      </c>
      <c r="O1" t="s">
        <v>3</v>
      </c>
      <c r="P1" t="s">
        <v>7</v>
      </c>
      <c r="Q1" t="s">
        <v>7</v>
      </c>
      <c r="U1" s="7"/>
    </row>
    <row r="2" spans="1:21" hidden="1" x14ac:dyDescent="0.25">
      <c r="A2" t="s">
        <v>7</v>
      </c>
      <c r="C2" t="s">
        <v>13</v>
      </c>
      <c r="D2" t="s">
        <v>8</v>
      </c>
      <c r="F2" t="s">
        <v>9</v>
      </c>
      <c r="K2" t="s">
        <v>20</v>
      </c>
      <c r="L2" t="s">
        <v>15</v>
      </c>
      <c r="M2" t="s">
        <v>21</v>
      </c>
      <c r="N2" t="s">
        <v>23</v>
      </c>
      <c r="O2" t="s">
        <v>5</v>
      </c>
      <c r="P2" t="s">
        <v>22</v>
      </c>
      <c r="Q2" t="s">
        <v>18</v>
      </c>
    </row>
    <row r="3" spans="1:21" ht="23.25" x14ac:dyDescent="0.35">
      <c r="C3" s="17" t="s">
        <v>25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1" ht="23.25" x14ac:dyDescent="0.35">
      <c r="C4" s="16" t="s">
        <v>28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1" ht="15.75" thickBot="1" x14ac:dyDescent="0.3"/>
    <row r="6" spans="1:21" ht="24" customHeight="1" thickBot="1" x14ac:dyDescent="0.3">
      <c r="E6" s="11" t="s">
        <v>16</v>
      </c>
      <c r="F6" s="3"/>
      <c r="G6" s="14"/>
      <c r="H6" s="15"/>
      <c r="J6" s="3"/>
      <c r="R6" s="12"/>
    </row>
    <row r="7" spans="1:21" ht="15.75" thickBot="1" x14ac:dyDescent="0.3">
      <c r="E7" s="10"/>
      <c r="F7" s="3"/>
      <c r="J7" s="3"/>
    </row>
    <row r="8" spans="1:21" ht="23.25" customHeight="1" thickBot="1" x14ac:dyDescent="0.3">
      <c r="E8" s="11" t="s">
        <v>17</v>
      </c>
      <c r="F8" s="3"/>
      <c r="G8" s="14"/>
      <c r="H8" s="15"/>
      <c r="J8" s="3"/>
      <c r="R8" s="12"/>
    </row>
    <row r="9" spans="1:21" ht="23.25" customHeight="1" x14ac:dyDescent="0.25">
      <c r="E9" s="11"/>
      <c r="F9" s="3"/>
      <c r="G9" s="13"/>
      <c r="H9" s="13"/>
      <c r="J9" s="3"/>
      <c r="R9" s="12"/>
    </row>
    <row r="10" spans="1:21" ht="46.5" customHeight="1" x14ac:dyDescent="0.25">
      <c r="E10" t="s">
        <v>6</v>
      </c>
      <c r="G10" s="4" t="s">
        <v>11</v>
      </c>
      <c r="H10" t="s">
        <v>1</v>
      </c>
      <c r="I10" s="4" t="s">
        <v>4</v>
      </c>
      <c r="J10" s="4" t="s">
        <v>12</v>
      </c>
      <c r="K10" s="4"/>
      <c r="L10" s="4"/>
      <c r="M10" s="4"/>
      <c r="N10" s="4"/>
      <c r="O10" s="4"/>
      <c r="P10" s="4"/>
      <c r="Q10" s="4"/>
      <c r="R10" s="4" t="s">
        <v>14</v>
      </c>
    </row>
    <row r="11" spans="1:21" ht="17.25" hidden="1" x14ac:dyDescent="0.3">
      <c r="B11" t="str">
        <f>IF($G12="","Hide","Show")</f>
        <v>Hide</v>
      </c>
      <c r="C11" t="str">
        <f>"""Ceres4"",""TCP-LIVE"",""14012281"",""1"",""BABY"""</f>
        <v>"Ceres4","TCP-LIVE","14012281","1","BABY"</v>
      </c>
      <c r="D11" t="str">
        <f>"BABY"</f>
        <v>BABY</v>
      </c>
      <c r="E11" s="9" t="s">
        <v>10</v>
      </c>
      <c r="F11" s="2"/>
      <c r="G11" s="8" t="str">
        <f>"Baby Foods"</f>
        <v>Baby Foods</v>
      </c>
    </row>
    <row r="12" spans="1:21" hidden="1" x14ac:dyDescent="0.25">
      <c r="B12" t="str">
        <f>IF($G12="","Hide","Show")</f>
        <v>Hide</v>
      </c>
      <c r="E12" s="1"/>
      <c r="F12" t="str">
        <f>""</f>
        <v/>
      </c>
      <c r="G12" t="str">
        <f>""</f>
        <v/>
      </c>
      <c r="H12" t="str">
        <f>""</f>
        <v/>
      </c>
      <c r="I12" s="5" t="str">
        <f>""</f>
        <v/>
      </c>
      <c r="J12" s="5" t="str">
        <f>""</f>
        <v/>
      </c>
      <c r="K12" s="5" t="str">
        <f>"0"</f>
        <v>0</v>
      </c>
      <c r="L12">
        <f>IFERROR(IF(K12*J12=0,"0",K12*J12),0)</f>
        <v>0</v>
      </c>
      <c r="M12" s="5" t="str">
        <f>""</f>
        <v/>
      </c>
      <c r="N12" t="e">
        <f>IF(M12*J12=0,"0",M12*J12)</f>
        <v>#VALUE!</v>
      </c>
      <c r="O12" s="5" t="str">
        <f>""</f>
        <v/>
      </c>
      <c r="P12" s="5" t="str">
        <f>""</f>
        <v/>
      </c>
      <c r="Q12" s="5" t="e">
        <f>P12*O12</f>
        <v>#VALUE!</v>
      </c>
      <c r="R12" s="6" t="str">
        <f>IFERROR(Q12+N12+L12,"")</f>
        <v/>
      </c>
    </row>
    <row r="13" spans="1:21" hidden="1" x14ac:dyDescent="0.25">
      <c r="B13" t="str">
        <f>IF($G12="","Hide","Show")</f>
        <v>Hide</v>
      </c>
      <c r="H13" t="str">
        <f>""</f>
        <v/>
      </c>
    </row>
    <row r="14" spans="1:21" hidden="1" x14ac:dyDescent="0.25">
      <c r="B14" t="str">
        <f>IF($G12="","Hide","Show")</f>
        <v>Hide</v>
      </c>
    </row>
    <row r="15" spans="1:21" ht="17.25" x14ac:dyDescent="0.3">
      <c r="A15" t="s">
        <v>27</v>
      </c>
      <c r="B15" t="e">
        <f>IF(#REF!="","Hide","Show")</f>
        <v>#REF!</v>
      </c>
      <c r="C15" t="str">
        <f>"""Ceres4"",""TCP-LIVE"",""14012281"",""1"",""BAKERY"""</f>
        <v>"Ceres4","TCP-LIVE","14012281","1","BAKERY"</v>
      </c>
      <c r="D15" t="str">
        <f>"BAKERY"</f>
        <v>BAKERY</v>
      </c>
      <c r="E15" s="9" t="s">
        <v>10</v>
      </c>
      <c r="F15" s="2"/>
      <c r="G15" s="8" t="str">
        <f>"Bakery Products (needs Baking or used in Baking)"</f>
        <v>Bakery Products (needs Baking or used in Baking)</v>
      </c>
    </row>
    <row r="16" spans="1:21" x14ac:dyDescent="0.25">
      <c r="A16" t="s">
        <v>27</v>
      </c>
      <c r="B16" t="str">
        <f t="shared" ref="B16" si="0">IF($G16="","Hide","Show")</f>
        <v>Show</v>
      </c>
      <c r="E16" s="1"/>
      <c r="F16" t="str">
        <f>"""Ceres4"",""TCP-LIVE"",""27"",""1"",""P520029"""</f>
        <v>"Ceres4","TCP-LIVE","27","1","P520029"</v>
      </c>
      <c r="G16" t="str">
        <f>"P520029"</f>
        <v>P520029</v>
      </c>
      <c r="H16" t="str">
        <f>"Bakery - Oatmeal Raisin Cookie Dough"</f>
        <v>Bakery - Oatmeal Raisin Cookie Dough</v>
      </c>
      <c r="I16" s="5" t="str">
        <f>"CS"</f>
        <v>CS</v>
      </c>
      <c r="J16" s="5">
        <v>20</v>
      </c>
      <c r="K16" s="5">
        <v>0</v>
      </c>
      <c r="L16" t="str">
        <f>IFERROR(IF(K16*J16=0,"0",K16*J16),0)</f>
        <v>0</v>
      </c>
      <c r="M16" s="5">
        <v>0</v>
      </c>
      <c r="N16" t="str">
        <f>IF(M16*J16=0,"0",M16*J16)</f>
        <v>0</v>
      </c>
      <c r="O16" s="5">
        <v>1.1000000000000001</v>
      </c>
      <c r="P16" s="5">
        <v>57.12</v>
      </c>
      <c r="Q16" s="5">
        <f t="shared" ref="Q16" si="1">P16*O16</f>
        <v>62.832000000000001</v>
      </c>
      <c r="R16" s="6">
        <f t="shared" ref="R16" si="2">IFERROR(Q16+N16+L16,"")</f>
        <v>62.832000000000001</v>
      </c>
    </row>
    <row r="17" spans="1:18" x14ac:dyDescent="0.25">
      <c r="A17" t="s">
        <v>27</v>
      </c>
      <c r="B17" t="str">
        <f t="shared" ref="B17" si="3">IF($G16="","Hide","Show")</f>
        <v>Show</v>
      </c>
      <c r="H17" t="str">
        <f>"320-1 oz"</f>
        <v>320-1 oz</v>
      </c>
    </row>
    <row r="18" spans="1:18" x14ac:dyDescent="0.25">
      <c r="A18" t="s">
        <v>27</v>
      </c>
      <c r="B18" t="e">
        <f>IF(#REF!="","Hide","Show")</f>
        <v>#REF!</v>
      </c>
    </row>
    <row r="19" spans="1:18" ht="17.25" x14ac:dyDescent="0.3">
      <c r="A19" t="s">
        <v>27</v>
      </c>
      <c r="B19" t="str">
        <f t="shared" ref="B19" si="4">IF($G20="","Hide","Show")</f>
        <v>Show</v>
      </c>
      <c r="C19" t="str">
        <f>"""Ceres4"",""TCP-LIVE"",""14012281"",""1"",""BEVERAGE"""</f>
        <v>"Ceres4","TCP-LIVE","14012281","1","BEVERAGE"</v>
      </c>
      <c r="D19" t="str">
        <f>"BEVERAGE"</f>
        <v>BEVERAGE</v>
      </c>
      <c r="E19" s="9" t="s">
        <v>10</v>
      </c>
      <c r="F19" s="2"/>
      <c r="G19" s="8" t="str">
        <f>"Beverages"</f>
        <v>Beverages</v>
      </c>
    </row>
    <row r="20" spans="1:18" x14ac:dyDescent="0.25">
      <c r="A20" t="s">
        <v>27</v>
      </c>
      <c r="B20" t="str">
        <f t="shared" ref="B20" si="5">IF($G20="","Hide","Show")</f>
        <v>Show</v>
      </c>
      <c r="E20" s="1"/>
      <c r="F20" t="str">
        <f>"""Ceres4"",""TCP-LIVE"",""27"",""1"",""P020002"""</f>
        <v>"Ceres4","TCP-LIVE","27","1","P020002"</v>
      </c>
      <c r="G20" t="str">
        <f>"P020002"</f>
        <v>P020002</v>
      </c>
      <c r="H20" t="str">
        <f>"Beverage - Protein Drink Peaches and Cream"</f>
        <v>Beverage - Protein Drink Peaches and Cream</v>
      </c>
      <c r="I20" s="5" t="str">
        <f>"CS"</f>
        <v>CS</v>
      </c>
      <c r="J20" s="5">
        <v>11</v>
      </c>
      <c r="K20" s="5">
        <v>0</v>
      </c>
      <c r="L20" t="str">
        <f>IFERROR(IF(K20*J20=0,"0",K20*J20),0)</f>
        <v>0</v>
      </c>
      <c r="M20" s="5">
        <v>0</v>
      </c>
      <c r="N20" t="str">
        <f>IF(M20*J20=0,"0",M20*J20)</f>
        <v>0</v>
      </c>
      <c r="O20" s="5">
        <v>1.1000000000000001</v>
      </c>
      <c r="P20" s="5">
        <v>12.74408</v>
      </c>
      <c r="Q20" s="5">
        <f t="shared" ref="Q20" si="6">P20*O20</f>
        <v>14.018488000000001</v>
      </c>
      <c r="R20" s="6">
        <f t="shared" ref="R20" si="7">IFERROR(Q20+N20+L20,"")</f>
        <v>14.018488000000001</v>
      </c>
    </row>
    <row r="21" spans="1:18" x14ac:dyDescent="0.25">
      <c r="A21" t="s">
        <v>27</v>
      </c>
      <c r="B21" t="str">
        <f t="shared" ref="B21" si="8">IF($G20="","Hide","Show")</f>
        <v>Show</v>
      </c>
      <c r="H21" t="str">
        <f>"12-11 oz"</f>
        <v>12-11 oz</v>
      </c>
    </row>
    <row r="22" spans="1:18" x14ac:dyDescent="0.25">
      <c r="A22" t="s">
        <v>27</v>
      </c>
      <c r="B22" t="str">
        <f t="shared" ref="B22" si="9">IF($G20="","Hide","Show")</f>
        <v>Show</v>
      </c>
    </row>
    <row r="23" spans="1:18" ht="17.25" hidden="1" x14ac:dyDescent="0.3">
      <c r="A23" t="s">
        <v>27</v>
      </c>
      <c r="B23" t="str">
        <f t="shared" ref="B23" si="10">IF($G24="","Hide","Show")</f>
        <v>Hide</v>
      </c>
      <c r="C23" t="str">
        <f>"""Ceres4"",""TCP-LIVE"",""14012281"",""1"",""BREAD"""</f>
        <v>"Ceres4","TCP-LIVE","14012281","1","BREAD"</v>
      </c>
      <c r="D23" t="str">
        <f>"BREAD"</f>
        <v>BREAD</v>
      </c>
      <c r="E23" s="9" t="s">
        <v>10</v>
      </c>
      <c r="F23" s="2"/>
      <c r="G23" s="8" t="str">
        <f>"Bread Products"</f>
        <v>Bread Products</v>
      </c>
    </row>
    <row r="24" spans="1:18" hidden="1" x14ac:dyDescent="0.25">
      <c r="A24" t="s">
        <v>27</v>
      </c>
      <c r="B24" t="str">
        <f t="shared" ref="B24" si="11">IF($G24="","Hide","Show")</f>
        <v>Hide</v>
      </c>
      <c r="E24" s="1"/>
      <c r="F24" t="str">
        <f>""</f>
        <v/>
      </c>
      <c r="G24" t="str">
        <f>""</f>
        <v/>
      </c>
      <c r="H24" t="str">
        <f>""</f>
        <v/>
      </c>
      <c r="I24" s="5" t="str">
        <f>""</f>
        <v/>
      </c>
      <c r="J24" s="5" t="str">
        <f>""</f>
        <v/>
      </c>
      <c r="K24" s="5" t="str">
        <f>"0"</f>
        <v>0</v>
      </c>
      <c r="L24">
        <f>IFERROR(IF(K24*J24=0,"0",K24*J24),0)</f>
        <v>0</v>
      </c>
      <c r="M24" s="5" t="str">
        <f>""</f>
        <v/>
      </c>
      <c r="N24" t="e">
        <f>IF(M24*J24=0,"0",M24*J24)</f>
        <v>#VALUE!</v>
      </c>
      <c r="O24" s="5" t="str">
        <f>""</f>
        <v/>
      </c>
      <c r="P24" s="5" t="str">
        <f>""</f>
        <v/>
      </c>
      <c r="Q24" s="5" t="e">
        <f t="shared" ref="Q24" si="12">P24*O24</f>
        <v>#VALUE!</v>
      </c>
      <c r="R24" s="6" t="str">
        <f t="shared" ref="R24" si="13">IFERROR(Q24+N24+L24,"")</f>
        <v/>
      </c>
    </row>
    <row r="25" spans="1:18" hidden="1" x14ac:dyDescent="0.25">
      <c r="A25" t="s">
        <v>27</v>
      </c>
      <c r="B25" t="str">
        <f t="shared" ref="B25" si="14">IF($G24="","Hide","Show")</f>
        <v>Hide</v>
      </c>
      <c r="H25" t="str">
        <f>""</f>
        <v/>
      </c>
    </row>
    <row r="26" spans="1:18" hidden="1" x14ac:dyDescent="0.25">
      <c r="A26" t="s">
        <v>27</v>
      </c>
      <c r="B26" t="str">
        <f t="shared" ref="B26" si="15">IF($G24="","Hide","Show")</f>
        <v>Hide</v>
      </c>
    </row>
    <row r="27" spans="1:18" ht="17.25" x14ac:dyDescent="0.3">
      <c r="A27" t="s">
        <v>27</v>
      </c>
      <c r="B27" t="str">
        <f t="shared" ref="B27" si="16">IF($G28="","Hide","Show")</f>
        <v>Show</v>
      </c>
      <c r="C27" t="str">
        <f>"""Ceres4"",""TCP-LIVE"",""14012281"",""1"",""CEREAL/BRK"""</f>
        <v>"Ceres4","TCP-LIVE","14012281","1","CEREAL/BRK"</v>
      </c>
      <c r="D27" t="str">
        <f>"CEREAL/BRK"</f>
        <v>CEREAL/BRK</v>
      </c>
      <c r="E27" s="9" t="s">
        <v>10</v>
      </c>
      <c r="F27" s="2"/>
      <c r="G27" s="8" t="str">
        <f>"Cereal and Breakfast Products"</f>
        <v>Cereal and Breakfast Products</v>
      </c>
    </row>
    <row r="28" spans="1:18" x14ac:dyDescent="0.25">
      <c r="A28" t="s">
        <v>27</v>
      </c>
      <c r="B28" t="str">
        <f t="shared" ref="B28:B40" si="17">IF($G28="","Hide","Show")</f>
        <v>Show</v>
      </c>
      <c r="E28" s="1"/>
      <c r="F28" t="str">
        <f>"""Ceres4"",""TCP-LIVE"",""27"",""1"",""P070005"""</f>
        <v>"Ceres4","TCP-LIVE","27","1","P070005"</v>
      </c>
      <c r="G28" t="str">
        <f>"P070005"</f>
        <v>P070005</v>
      </c>
      <c r="H28" t="str">
        <f>"Breakfast - Pop Tart Strawberry"</f>
        <v>Breakfast - Pop Tart Strawberry</v>
      </c>
      <c r="I28" s="5" t="str">
        <f>"CS"</f>
        <v>CS</v>
      </c>
      <c r="J28" s="5">
        <v>13</v>
      </c>
      <c r="K28" s="5">
        <v>0</v>
      </c>
      <c r="L28" t="str">
        <f>IFERROR(IF(K28*J28=0,"0",K28*J28),0)</f>
        <v>0</v>
      </c>
      <c r="M28" s="5">
        <v>0</v>
      </c>
      <c r="N28" t="str">
        <f>IF(M28*J28=0,"0",M28*J28)</f>
        <v>0</v>
      </c>
      <c r="O28" s="5">
        <v>1</v>
      </c>
      <c r="P28" s="5">
        <v>51.27</v>
      </c>
      <c r="Q28" s="5">
        <f t="shared" ref="Q28" si="18">P28*O28</f>
        <v>51.27</v>
      </c>
      <c r="R28" s="6">
        <f t="shared" ref="R28" si="19">IFERROR(Q28+N28+L28,"")</f>
        <v>51.27</v>
      </c>
    </row>
    <row r="29" spans="1:18" x14ac:dyDescent="0.25">
      <c r="A29" t="s">
        <v>27</v>
      </c>
      <c r="B29" t="str">
        <f t="shared" ref="B29" si="20">IF($G28="","Hide","Show")</f>
        <v>Show</v>
      </c>
      <c r="H29" t="str">
        <f>"120-2 oz"</f>
        <v>120-2 oz</v>
      </c>
    </row>
    <row r="30" spans="1:18" x14ac:dyDescent="0.25">
      <c r="A30" t="s">
        <v>27</v>
      </c>
      <c r="B30" t="str">
        <f t="shared" si="17"/>
        <v>Show</v>
      </c>
      <c r="E30" s="1"/>
      <c r="F30" t="str">
        <f>"""Ceres4"",""TCP-LIVE"",""27"",""1"",""P070009"""</f>
        <v>"Ceres4","TCP-LIVE","27","1","P070009"</v>
      </c>
      <c r="G30" t="str">
        <f>"P070009"</f>
        <v>P070009</v>
      </c>
      <c r="H30" t="str">
        <f>"Breakfast - Whole Wheat Pancakes"</f>
        <v>Breakfast - Whole Wheat Pancakes</v>
      </c>
      <c r="I30" s="5" t="str">
        <f>"EA"</f>
        <v>EA</v>
      </c>
      <c r="J30" s="5">
        <v>1</v>
      </c>
      <c r="K30" s="5">
        <v>0</v>
      </c>
      <c r="L30" t="str">
        <f>IFERROR(IF(K30*J30=0,"0",K30*J30),0)</f>
        <v>0</v>
      </c>
      <c r="M30" s="5">
        <v>0</v>
      </c>
      <c r="N30" t="str">
        <f>IF(M30*J30=0,"0",M30*J30)</f>
        <v>0</v>
      </c>
      <c r="O30" s="5">
        <v>1.1499999999999999</v>
      </c>
      <c r="P30" s="5">
        <v>2.2578100000000001</v>
      </c>
      <c r="Q30" s="5">
        <f t="shared" ref="Q30" si="21">P30*O30</f>
        <v>2.5964814999999999</v>
      </c>
      <c r="R30" s="6">
        <f t="shared" ref="R30" si="22">IFERROR(Q30+N30+L30,"")</f>
        <v>2.5964814999999999</v>
      </c>
    </row>
    <row r="31" spans="1:18" x14ac:dyDescent="0.25">
      <c r="A31" t="s">
        <v>27</v>
      </c>
      <c r="B31" t="str">
        <f t="shared" ref="B31" si="23">IF($G30="","Hide","Show")</f>
        <v>Show</v>
      </c>
      <c r="H31" t="str">
        <f>"1pk - 12 sm cakes"</f>
        <v>1pk - 12 sm cakes</v>
      </c>
    </row>
    <row r="32" spans="1:18" x14ac:dyDescent="0.25">
      <c r="A32" t="s">
        <v>27</v>
      </c>
      <c r="B32" t="str">
        <f t="shared" si="17"/>
        <v>Show</v>
      </c>
      <c r="E32" s="1"/>
      <c r="F32" t="str">
        <f>"""Ceres4"",""TCP-LIVE"",""27"",""1"",""P070013"""</f>
        <v>"Ceres4","TCP-LIVE","27","1","P070013"</v>
      </c>
      <c r="G32" t="str">
        <f>"P070013"</f>
        <v>P070013</v>
      </c>
      <c r="H32" t="str">
        <f>"Breakfast- Waffles"</f>
        <v>Breakfast- Waffles</v>
      </c>
      <c r="I32" s="5" t="str">
        <f>"EA"</f>
        <v>EA</v>
      </c>
      <c r="J32" s="5">
        <v>1</v>
      </c>
      <c r="K32" s="5">
        <v>0</v>
      </c>
      <c r="L32" t="str">
        <f>IFERROR(IF(K32*J32=0,"0",K32*J32),0)</f>
        <v>0</v>
      </c>
      <c r="M32" s="5">
        <v>0</v>
      </c>
      <c r="N32" t="str">
        <f>IF(M32*J32=0,"0",M32*J32)</f>
        <v>0</v>
      </c>
      <c r="O32" s="5">
        <v>1.1000000000000001</v>
      </c>
      <c r="P32" s="5">
        <v>2.2260499999999999</v>
      </c>
      <c r="Q32" s="5">
        <f t="shared" ref="Q32" si="24">P32*O32</f>
        <v>2.448655</v>
      </c>
      <c r="R32" s="6">
        <f t="shared" ref="R32" si="25">IFERROR(Q32+N32+L32,"")</f>
        <v>2.448655</v>
      </c>
    </row>
    <row r="33" spans="1:18" x14ac:dyDescent="0.25">
      <c r="A33" t="s">
        <v>27</v>
      </c>
      <c r="B33" t="str">
        <f t="shared" ref="B33" si="26">IF($G32="","Hide","Show")</f>
        <v>Show</v>
      </c>
      <c r="H33" t="str">
        <f>"6- 1.27 oz"</f>
        <v>6- 1.27 oz</v>
      </c>
    </row>
    <row r="34" spans="1:18" x14ac:dyDescent="0.25">
      <c r="A34" t="s">
        <v>27</v>
      </c>
      <c r="B34" t="str">
        <f t="shared" si="17"/>
        <v>Show</v>
      </c>
      <c r="E34" s="1"/>
      <c r="F34" t="str">
        <f>"""Ceres4"",""TCP-LIVE"",""27"",""1"",""P070014"""</f>
        <v>"Ceres4","TCP-LIVE","27","1","P070014"</v>
      </c>
      <c r="G34" t="str">
        <f>"P070014"</f>
        <v>P070014</v>
      </c>
      <c r="H34" t="str">
        <f>"Breakfast - French Toast "</f>
        <v xml:space="preserve">Breakfast - French Toast </v>
      </c>
      <c r="I34" s="5" t="str">
        <f>"EA"</f>
        <v>EA</v>
      </c>
      <c r="J34" s="5">
        <v>1</v>
      </c>
      <c r="K34" s="5">
        <v>0</v>
      </c>
      <c r="L34" t="str">
        <f>IFERROR(IF(K34*J34=0,"0",K34*J34),0)</f>
        <v>0</v>
      </c>
      <c r="M34" s="5">
        <v>0</v>
      </c>
      <c r="N34" t="str">
        <f>IF(M34*J34=0,"0",M34*J34)</f>
        <v>0</v>
      </c>
      <c r="O34" s="5">
        <v>1.1000000000000001</v>
      </c>
      <c r="P34" s="5">
        <v>7.5562500000000004</v>
      </c>
      <c r="Q34" s="5">
        <f t="shared" ref="Q34" si="27">P34*O34</f>
        <v>8.3118750000000006</v>
      </c>
      <c r="R34" s="6">
        <f t="shared" ref="R34" si="28">IFERROR(Q34+N34+L34,"")</f>
        <v>8.3118750000000006</v>
      </c>
    </row>
    <row r="35" spans="1:18" x14ac:dyDescent="0.25">
      <c r="A35" t="s">
        <v>27</v>
      </c>
      <c r="B35" t="str">
        <f t="shared" ref="B35" si="29">IF($G34="","Hide","Show")</f>
        <v>Show</v>
      </c>
      <c r="H35" t="str">
        <f>"1 pk of 12"</f>
        <v>1 pk of 12</v>
      </c>
    </row>
    <row r="36" spans="1:18" x14ac:dyDescent="0.25">
      <c r="A36" t="s">
        <v>27</v>
      </c>
      <c r="B36" t="str">
        <f t="shared" si="17"/>
        <v>Show</v>
      </c>
      <c r="E36" s="1"/>
      <c r="F36" t="str">
        <f>"""Ceres4"",""TCP-LIVE"",""27"",""1"",""P070033"""</f>
        <v>"Ceres4","TCP-LIVE","27","1","P070033"</v>
      </c>
      <c r="G36" t="str">
        <f>"P070033"</f>
        <v>P070033</v>
      </c>
      <c r="H36" t="str">
        <f>"Breakfast - Pop Tarts Cinnamon Frosted"</f>
        <v>Breakfast - Pop Tarts Cinnamon Frosted</v>
      </c>
      <c r="I36" s="5" t="str">
        <f>"CS"</f>
        <v>CS</v>
      </c>
      <c r="J36" s="5">
        <v>13</v>
      </c>
      <c r="K36" s="5">
        <v>0</v>
      </c>
      <c r="L36" t="str">
        <f>IFERROR(IF(K36*J36=0,"0",K36*J36),0)</f>
        <v>0</v>
      </c>
      <c r="M36" s="5">
        <v>0</v>
      </c>
      <c r="N36" t="str">
        <f>IF(M36*J36=0,"0",M36*J36)</f>
        <v>0</v>
      </c>
      <c r="O36" s="5">
        <v>1.1000000000000001</v>
      </c>
      <c r="P36" s="5">
        <v>51.19</v>
      </c>
      <c r="Q36" s="5">
        <f t="shared" ref="Q36" si="30">P36*O36</f>
        <v>56.309000000000005</v>
      </c>
      <c r="R36" s="6">
        <f t="shared" ref="R36" si="31">IFERROR(Q36+N36+L36,"")</f>
        <v>56.309000000000005</v>
      </c>
    </row>
    <row r="37" spans="1:18" x14ac:dyDescent="0.25">
      <c r="A37" t="s">
        <v>27</v>
      </c>
      <c r="B37" t="str">
        <f t="shared" ref="B37" si="32">IF($G36="","Hide","Show")</f>
        <v>Show</v>
      </c>
      <c r="H37" t="str">
        <f>"120-2 oz"</f>
        <v>120-2 oz</v>
      </c>
    </row>
    <row r="38" spans="1:18" x14ac:dyDescent="0.25">
      <c r="A38" t="s">
        <v>27</v>
      </c>
      <c r="B38" t="str">
        <f t="shared" si="17"/>
        <v>Show</v>
      </c>
      <c r="E38" s="1"/>
      <c r="F38" t="str">
        <f>"""Ceres4"",""TCP-LIVE"",""27"",""1"",""P070036"""</f>
        <v>"Ceres4","TCP-LIVE","27","1","P070036"</v>
      </c>
      <c r="G38" t="str">
        <f>"P070036"</f>
        <v>P070036</v>
      </c>
      <c r="H38" t="str">
        <f>"Cereal - Kashi Cup assorted"</f>
        <v>Cereal - Kashi Cup assorted</v>
      </c>
      <c r="I38" s="5" t="str">
        <f>"CS"</f>
        <v>CS</v>
      </c>
      <c r="J38" s="5">
        <v>4</v>
      </c>
      <c r="K38" s="5">
        <v>0</v>
      </c>
      <c r="L38" t="str">
        <f>IFERROR(IF(K38*J38=0,"0",K38*J38),0)</f>
        <v>0</v>
      </c>
      <c r="M38" s="5">
        <v>0</v>
      </c>
      <c r="N38" t="str">
        <f>IF(M38*J38=0,"0",M38*J38)</f>
        <v>0</v>
      </c>
      <c r="O38" s="5">
        <v>1.1000000000000001</v>
      </c>
      <c r="P38" s="5">
        <v>45.87</v>
      </c>
      <c r="Q38" s="5">
        <f t="shared" ref="Q38" si="33">P38*O38</f>
        <v>50.457000000000001</v>
      </c>
      <c r="R38" s="6">
        <f t="shared" ref="R38" si="34">IFERROR(Q38+N38+L38,"")</f>
        <v>50.457000000000001</v>
      </c>
    </row>
    <row r="39" spans="1:18" x14ac:dyDescent="0.25">
      <c r="A39" t="s">
        <v>27</v>
      </c>
      <c r="B39" t="str">
        <f t="shared" ref="B39" si="35">IF($G38="","Hide","Show")</f>
        <v>Show</v>
      </c>
      <c r="H39" t="str">
        <f>"36-2 oz"</f>
        <v>36-2 oz</v>
      </c>
    </row>
    <row r="40" spans="1:18" x14ac:dyDescent="0.25">
      <c r="A40" t="s">
        <v>27</v>
      </c>
      <c r="B40" t="str">
        <f t="shared" si="17"/>
        <v>Show</v>
      </c>
      <c r="E40" s="1"/>
      <c r="F40" t="str">
        <f>"""Ceres4"",""TCP-LIVE"",""27"",""1"",""P070040"""</f>
        <v>"Ceres4","TCP-LIVE","27","1","P070040"</v>
      </c>
      <c r="G40" t="str">
        <f>"P070040"</f>
        <v>P070040</v>
      </c>
      <c r="H40" t="str">
        <f>"Breakfast - Pancake Syrup"</f>
        <v>Breakfast - Pancake Syrup</v>
      </c>
      <c r="I40" s="5" t="str">
        <f>"EA"</f>
        <v>EA</v>
      </c>
      <c r="J40" s="5">
        <v>2</v>
      </c>
      <c r="K40" s="5">
        <v>0</v>
      </c>
      <c r="L40" t="str">
        <f>IFERROR(IF(K40*J40=0,"0",K40*J40),0)</f>
        <v>0</v>
      </c>
      <c r="M40" s="5">
        <v>0</v>
      </c>
      <c r="N40" t="str">
        <f>IF(M40*J40=0,"0",M40*J40)</f>
        <v>0</v>
      </c>
      <c r="O40" s="5">
        <v>1.05</v>
      </c>
      <c r="P40" s="5">
        <v>2.39</v>
      </c>
      <c r="Q40" s="5">
        <f t="shared" ref="Q40" si="36">P40*O40</f>
        <v>2.5095000000000001</v>
      </c>
      <c r="R40" s="6">
        <f t="shared" ref="R40" si="37">IFERROR(Q40+N40+L40,"")</f>
        <v>2.5095000000000001</v>
      </c>
    </row>
    <row r="41" spans="1:18" x14ac:dyDescent="0.25">
      <c r="A41" t="s">
        <v>27</v>
      </c>
      <c r="B41" t="str">
        <f t="shared" ref="B41" si="38">IF($G40="","Hide","Show")</f>
        <v>Show</v>
      </c>
      <c r="H41" t="str">
        <f>"1-24 oz"</f>
        <v>1-24 oz</v>
      </c>
    </row>
    <row r="42" spans="1:18" x14ac:dyDescent="0.25">
      <c r="A42" t="s">
        <v>27</v>
      </c>
      <c r="B42" t="str">
        <f t="shared" ref="B42" si="39">IF($G28="","Hide","Show")</f>
        <v>Show</v>
      </c>
    </row>
    <row r="43" spans="1:18" ht="17.25" x14ac:dyDescent="0.3">
      <c r="A43" t="s">
        <v>27</v>
      </c>
      <c r="B43" t="str">
        <f t="shared" ref="B43" si="40">IF($G44="","Hide","Show")</f>
        <v>Show</v>
      </c>
      <c r="C43" t="str">
        <f>"""Ceres4"",""TCP-LIVE"",""14012281"",""1"",""CONDIMENT"""</f>
        <v>"Ceres4","TCP-LIVE","14012281","1","CONDIMENT"</v>
      </c>
      <c r="D43" t="str">
        <f>"CONDIMENT"</f>
        <v>CONDIMENT</v>
      </c>
      <c r="E43" s="9" t="s">
        <v>10</v>
      </c>
      <c r="F43" s="2"/>
      <c r="G43" s="8" t="str">
        <f>"Condiment Products"</f>
        <v>Condiment Products</v>
      </c>
    </row>
    <row r="44" spans="1:18" x14ac:dyDescent="0.25">
      <c r="A44" t="s">
        <v>27</v>
      </c>
      <c r="B44" t="str">
        <f t="shared" ref="B44:B50" si="41">IF($G44="","Hide","Show")</f>
        <v>Show</v>
      </c>
      <c r="E44" s="1"/>
      <c r="F44" t="str">
        <f>"""Ceres4"",""TCP-LIVE"",""27"",""1"",""P100005"""</f>
        <v>"Ceres4","TCP-LIVE","27","1","P100005"</v>
      </c>
      <c r="G44" t="str">
        <f>"P100005"</f>
        <v>P100005</v>
      </c>
      <c r="H44" t="str">
        <f>"Condiment - Whipping Cream"</f>
        <v>Condiment - Whipping Cream</v>
      </c>
      <c r="I44" s="5" t="str">
        <f>"EA"</f>
        <v>EA</v>
      </c>
      <c r="J44" s="5">
        <v>1</v>
      </c>
      <c r="K44" s="5">
        <v>0</v>
      </c>
      <c r="L44" t="str">
        <f>IFERROR(IF(K44*J44=0,"0",K44*J44),0)</f>
        <v>0</v>
      </c>
      <c r="M44" s="5">
        <v>0</v>
      </c>
      <c r="N44" t="str">
        <f>IF(M44*J44=0,"0",M44*J44)</f>
        <v>0</v>
      </c>
      <c r="O44" s="5">
        <v>1.1499999999999999</v>
      </c>
      <c r="P44" s="5">
        <v>2.7245499999999998</v>
      </c>
      <c r="Q44" s="5">
        <f t="shared" ref="Q44" si="42">P44*O44</f>
        <v>3.1332324999999996</v>
      </c>
      <c r="R44" s="6">
        <f t="shared" ref="R44" si="43">IFERROR(Q44+N44+L44,"")</f>
        <v>3.1332324999999996</v>
      </c>
    </row>
    <row r="45" spans="1:18" x14ac:dyDescent="0.25">
      <c r="A45" t="s">
        <v>27</v>
      </c>
      <c r="B45" t="str">
        <f t="shared" ref="B45" si="44">IF($G44="","Hide","Show")</f>
        <v>Show</v>
      </c>
      <c r="H45" t="str">
        <f>"1 tub"</f>
        <v>1 tub</v>
      </c>
    </row>
    <row r="46" spans="1:18" x14ac:dyDescent="0.25">
      <c r="A46" t="s">
        <v>27</v>
      </c>
      <c r="B46" t="str">
        <f t="shared" si="41"/>
        <v>Show</v>
      </c>
      <c r="E46" s="1"/>
      <c r="F46" t="str">
        <f>"""Ceres4"",""TCP-LIVE"",""27"",""1"",""P120011"""</f>
        <v>"Ceres4","TCP-LIVE","27","1","P120011"</v>
      </c>
      <c r="G46" t="str">
        <f>"P120011"</f>
        <v>P120011</v>
      </c>
      <c r="H46" t="str">
        <f>"Condiment - Tomato Sauce"</f>
        <v>Condiment - Tomato Sauce</v>
      </c>
      <c r="I46" s="5" t="str">
        <f>"CS"</f>
        <v>CS</v>
      </c>
      <c r="J46" s="5">
        <v>26</v>
      </c>
      <c r="K46" s="5">
        <v>0</v>
      </c>
      <c r="L46" t="str">
        <f>IFERROR(IF(K46*J46=0,"0",K46*J46),0)</f>
        <v>0</v>
      </c>
      <c r="M46" s="5">
        <v>0</v>
      </c>
      <c r="N46" t="str">
        <f>IF(M46*J46=0,"0",M46*J46)</f>
        <v>0</v>
      </c>
      <c r="O46" s="5">
        <v>1.22</v>
      </c>
      <c r="P46" s="5">
        <v>15.57591</v>
      </c>
      <c r="Q46" s="5">
        <f t="shared" ref="Q46" si="45">P46*O46</f>
        <v>19.002610199999999</v>
      </c>
      <c r="R46" s="6">
        <f t="shared" ref="R46" si="46">IFERROR(Q46+N46+L46,"")</f>
        <v>19.002610199999999</v>
      </c>
    </row>
    <row r="47" spans="1:18" x14ac:dyDescent="0.25">
      <c r="A47" t="s">
        <v>27</v>
      </c>
      <c r="B47" t="str">
        <f t="shared" ref="B47" si="47">IF($G46="","Hide","Show")</f>
        <v>Show</v>
      </c>
      <c r="H47" t="str">
        <f>"24-15 oz"</f>
        <v>24-15 oz</v>
      </c>
    </row>
    <row r="48" spans="1:18" x14ac:dyDescent="0.25">
      <c r="A48" t="s">
        <v>27</v>
      </c>
      <c r="B48" t="str">
        <f t="shared" si="41"/>
        <v>Show</v>
      </c>
      <c r="E48" s="1"/>
      <c r="F48" t="str">
        <f>"""Ceres4"",""TCP-LIVE"",""27"",""1"",""P120013"""</f>
        <v>"Ceres4","TCP-LIVE","27","1","P120013"</v>
      </c>
      <c r="G48" t="str">
        <f>"P120013"</f>
        <v>P120013</v>
      </c>
      <c r="H48" t="str">
        <f>"Condiment - Tomatoe Sauce"</f>
        <v>Condiment - Tomatoe Sauce</v>
      </c>
      <c r="I48" s="5" t="str">
        <f>"EA"</f>
        <v>EA</v>
      </c>
      <c r="J48" s="5">
        <v>1</v>
      </c>
      <c r="K48" s="5">
        <v>0</v>
      </c>
      <c r="L48" t="str">
        <f>IFERROR(IF(K48*J48=0,"0",K48*J48),0)</f>
        <v>0</v>
      </c>
      <c r="M48" s="5">
        <v>0</v>
      </c>
      <c r="N48" t="str">
        <f>IF(M48*J48=0,"0",M48*J48)</f>
        <v>0</v>
      </c>
      <c r="O48" s="5">
        <v>1.06</v>
      </c>
      <c r="P48" s="5">
        <v>0.79</v>
      </c>
      <c r="Q48" s="5">
        <f t="shared" ref="Q48" si="48">P48*O48</f>
        <v>0.83740000000000003</v>
      </c>
      <c r="R48" s="6">
        <f t="shared" ref="R48" si="49">IFERROR(Q48+N48+L48,"")</f>
        <v>0.83740000000000003</v>
      </c>
    </row>
    <row r="49" spans="1:18" x14ac:dyDescent="0.25">
      <c r="A49" t="s">
        <v>27</v>
      </c>
      <c r="B49" t="str">
        <f t="shared" ref="B49" si="50">IF($G48="","Hide","Show")</f>
        <v>Show</v>
      </c>
      <c r="H49" t="str">
        <f>"1 -15 oz"</f>
        <v>1 -15 oz</v>
      </c>
    </row>
    <row r="50" spans="1:18" x14ac:dyDescent="0.25">
      <c r="A50" t="s">
        <v>27</v>
      </c>
      <c r="B50" t="str">
        <f t="shared" si="41"/>
        <v>Show</v>
      </c>
      <c r="E50" s="1"/>
      <c r="F50" t="str">
        <f>"""Ceres4"",""TCP-LIVE"",""27"",""1"",""P269995"""</f>
        <v>"Ceres4","TCP-LIVE","27","1","P269995"</v>
      </c>
      <c r="G50" t="str">
        <f>"P269995"</f>
        <v>P269995</v>
      </c>
      <c r="H50" t="str">
        <f>"Condiment - Red Chili"</f>
        <v>Condiment - Red Chili</v>
      </c>
      <c r="I50" s="5" t="str">
        <f>"EA"</f>
        <v>EA</v>
      </c>
      <c r="J50" s="5">
        <v>4</v>
      </c>
      <c r="K50" s="5">
        <v>0</v>
      </c>
      <c r="L50" t="str">
        <f>IFERROR(IF(K50*J50=0,"0",K50*J50),0)</f>
        <v>0</v>
      </c>
      <c r="M50" s="5">
        <v>0</v>
      </c>
      <c r="N50" t="str">
        <f>IF(M50*J50=0,"0",M50*J50)</f>
        <v>0</v>
      </c>
      <c r="O50" s="5">
        <v>1</v>
      </c>
      <c r="P50" s="5">
        <v>4.7533300000000001</v>
      </c>
      <c r="Q50" s="5">
        <f t="shared" ref="Q50" si="51">P50*O50</f>
        <v>4.7533300000000001</v>
      </c>
      <c r="R50" s="6">
        <f t="shared" ref="R50" si="52">IFERROR(Q50+N50+L50,"")</f>
        <v>4.7533300000000001</v>
      </c>
    </row>
    <row r="51" spans="1:18" x14ac:dyDescent="0.25">
      <c r="A51" t="s">
        <v>27</v>
      </c>
      <c r="B51" t="str">
        <f t="shared" ref="B51" si="53">IF($G50="","Hide","Show")</f>
        <v>Show</v>
      </c>
      <c r="H51" t="str">
        <f>"1-56 oz"</f>
        <v>1-56 oz</v>
      </c>
    </row>
    <row r="52" spans="1:18" x14ac:dyDescent="0.25">
      <c r="A52" t="s">
        <v>27</v>
      </c>
      <c r="B52" t="str">
        <f t="shared" ref="B52" si="54">IF($G44="","Hide","Show")</f>
        <v>Show</v>
      </c>
    </row>
    <row r="53" spans="1:18" ht="17.25" hidden="1" x14ac:dyDescent="0.3">
      <c r="A53" t="s">
        <v>27</v>
      </c>
      <c r="B53" t="str">
        <f t="shared" ref="B53" si="55">IF($G54="","Hide","Show")</f>
        <v>Hide</v>
      </c>
      <c r="C53" t="str">
        <f>"""Ceres4"",""TCP-LIVE"",""14012281"",""1"",""DAIRY"""</f>
        <v>"Ceres4","TCP-LIVE","14012281","1","DAIRY"</v>
      </c>
      <c r="D53" t="str">
        <f>"DAIRY"</f>
        <v>DAIRY</v>
      </c>
      <c r="E53" s="9" t="s">
        <v>10</v>
      </c>
      <c r="F53" s="2"/>
      <c r="G53" s="8" t="str">
        <f>"Dairy Products"</f>
        <v>Dairy Products</v>
      </c>
    </row>
    <row r="54" spans="1:18" hidden="1" x14ac:dyDescent="0.25">
      <c r="A54" t="s">
        <v>27</v>
      </c>
      <c r="B54" t="str">
        <f t="shared" ref="B54" si="56">IF($G54="","Hide","Show")</f>
        <v>Hide</v>
      </c>
      <c r="E54" s="1"/>
      <c r="F54" t="str">
        <f>""</f>
        <v/>
      </c>
      <c r="G54" t="str">
        <f>""</f>
        <v/>
      </c>
      <c r="H54" t="str">
        <f>""</f>
        <v/>
      </c>
      <c r="I54" s="5" t="str">
        <f>""</f>
        <v/>
      </c>
      <c r="J54" s="5" t="str">
        <f>""</f>
        <v/>
      </c>
      <c r="K54" s="5" t="str">
        <f>"0"</f>
        <v>0</v>
      </c>
      <c r="L54">
        <f>IFERROR(IF(K54*J54=0,"0",K54*J54),0)</f>
        <v>0</v>
      </c>
      <c r="M54" s="5" t="str">
        <f>""</f>
        <v/>
      </c>
      <c r="N54" t="e">
        <f>IF(M54*J54=0,"0",M54*J54)</f>
        <v>#VALUE!</v>
      </c>
      <c r="O54" s="5" t="str">
        <f>""</f>
        <v/>
      </c>
      <c r="P54" s="5" t="str">
        <f>""</f>
        <v/>
      </c>
      <c r="Q54" s="5" t="e">
        <f t="shared" ref="Q54" si="57">P54*O54</f>
        <v>#VALUE!</v>
      </c>
      <c r="R54" s="6" t="str">
        <f t="shared" ref="R54" si="58">IFERROR(Q54+N54+L54,"")</f>
        <v/>
      </c>
    </row>
    <row r="55" spans="1:18" hidden="1" x14ac:dyDescent="0.25">
      <c r="A55" t="s">
        <v>27</v>
      </c>
      <c r="B55" t="str">
        <f t="shared" ref="B55" si="59">IF($G54="","Hide","Show")</f>
        <v>Hide</v>
      </c>
      <c r="H55" t="str">
        <f>""</f>
        <v/>
      </c>
    </row>
    <row r="56" spans="1:18" hidden="1" x14ac:dyDescent="0.25">
      <c r="A56" t="s">
        <v>27</v>
      </c>
      <c r="B56" t="str">
        <f t="shared" ref="B56" si="60">IF($G54="","Hide","Show")</f>
        <v>Hide</v>
      </c>
    </row>
    <row r="57" spans="1:18" ht="17.25" x14ac:dyDescent="0.3">
      <c r="A57" t="s">
        <v>27</v>
      </c>
      <c r="B57" t="str">
        <f t="shared" ref="B57" si="61">IF($G58="","Hide","Show")</f>
        <v>Show</v>
      </c>
      <c r="C57" t="str">
        <f>"""Ceres4"",""TCP-LIVE"",""14012281"",""1"",""DESSERT"""</f>
        <v>"Ceres4","TCP-LIVE","14012281","1","DESSERT"</v>
      </c>
      <c r="D57" t="str">
        <f>"DESSERT"</f>
        <v>DESSERT</v>
      </c>
      <c r="E57" s="9" t="s">
        <v>10</v>
      </c>
      <c r="F57" s="2"/>
      <c r="G57" s="8" t="str">
        <f>"Dessert Products"</f>
        <v>Dessert Products</v>
      </c>
    </row>
    <row r="58" spans="1:18" x14ac:dyDescent="0.25">
      <c r="A58" t="s">
        <v>27</v>
      </c>
      <c r="B58" t="str">
        <f t="shared" ref="B58" si="62">IF($G58="","Hide","Show")</f>
        <v>Show</v>
      </c>
      <c r="E58" s="1"/>
      <c r="F58" t="str">
        <f>"""Ceres4"",""TCP-LIVE"",""27"",""1"",""P580007"""</f>
        <v>"Ceres4","TCP-LIVE","27","1","P580007"</v>
      </c>
      <c r="G58" t="str">
        <f>"P580007"</f>
        <v>P580007</v>
      </c>
      <c r="H58" t="str">
        <f>"Dessert - Carrot Cake"</f>
        <v>Dessert - Carrot Cake</v>
      </c>
      <c r="I58" s="5" t="str">
        <f>"EA"</f>
        <v>EA</v>
      </c>
      <c r="J58" s="5">
        <v>6</v>
      </c>
      <c r="K58" s="5">
        <v>0</v>
      </c>
      <c r="L58" t="str">
        <f>IFERROR(IF(K58*J58=0,"0",K58*J58),0)</f>
        <v>0</v>
      </c>
      <c r="M58" s="5">
        <v>0</v>
      </c>
      <c r="N58" t="str">
        <f>IF(M58*J58=0,"0",M58*J58)</f>
        <v>0</v>
      </c>
      <c r="O58" s="5">
        <v>1.1000000000000001</v>
      </c>
      <c r="P58" s="5">
        <v>21.043330000000001</v>
      </c>
      <c r="Q58" s="5">
        <f t="shared" ref="Q58" si="63">P58*O58</f>
        <v>23.147663000000001</v>
      </c>
      <c r="R58" s="6">
        <f t="shared" ref="R58" si="64">IFERROR(Q58+N58+L58,"")</f>
        <v>23.147663000000001</v>
      </c>
    </row>
    <row r="59" spans="1:18" x14ac:dyDescent="0.25">
      <c r="A59" t="s">
        <v>27</v>
      </c>
      <c r="B59" t="str">
        <f t="shared" ref="B59" si="65">IF($G58="","Hide","Show")</f>
        <v>Show</v>
      </c>
      <c r="H59" t="str">
        <f>"1 - 96 oz sheet cake"</f>
        <v>1 - 96 oz sheet cake</v>
      </c>
    </row>
    <row r="60" spans="1:18" x14ac:dyDescent="0.25">
      <c r="A60" t="s">
        <v>27</v>
      </c>
      <c r="B60" t="str">
        <f t="shared" ref="B60" si="66">IF($G58="","Hide","Show")</f>
        <v>Show</v>
      </c>
    </row>
    <row r="61" spans="1:18" ht="17.25" hidden="1" x14ac:dyDescent="0.3">
      <c r="A61" t="s">
        <v>27</v>
      </c>
      <c r="B61" t="str">
        <f t="shared" ref="B61" si="67">IF($G62="","Hide","Show")</f>
        <v>Hide</v>
      </c>
      <c r="C61" t="str">
        <f>"""Ceres4"",""TCP-LIVE"",""14012281"",""1"",""DRESSING"""</f>
        <v>"Ceres4","TCP-LIVE","14012281","1","DRESSING"</v>
      </c>
      <c r="D61" t="str">
        <f>"DRESSING"</f>
        <v>DRESSING</v>
      </c>
      <c r="E61" s="9" t="s">
        <v>10</v>
      </c>
      <c r="F61" s="2"/>
      <c r="G61" s="8" t="str">
        <f>"Dressing Products"</f>
        <v>Dressing Products</v>
      </c>
    </row>
    <row r="62" spans="1:18" hidden="1" x14ac:dyDescent="0.25">
      <c r="A62" t="s">
        <v>27</v>
      </c>
      <c r="B62" t="str">
        <f t="shared" ref="B62" si="68">IF($G62="","Hide","Show")</f>
        <v>Hide</v>
      </c>
      <c r="E62" s="1"/>
      <c r="F62" t="str">
        <f>""</f>
        <v/>
      </c>
      <c r="G62" t="str">
        <f>""</f>
        <v/>
      </c>
      <c r="H62" t="str">
        <f>""</f>
        <v/>
      </c>
      <c r="I62" s="5" t="str">
        <f>""</f>
        <v/>
      </c>
      <c r="J62" s="5" t="str">
        <f>""</f>
        <v/>
      </c>
      <c r="K62" s="5" t="str">
        <f>"0"</f>
        <v>0</v>
      </c>
      <c r="L62">
        <f>IFERROR(IF(K62*J62=0,"0",K62*J62),0)</f>
        <v>0</v>
      </c>
      <c r="M62" s="5" t="str">
        <f>""</f>
        <v/>
      </c>
      <c r="N62" t="e">
        <f>IF(M62*J62=0,"0",M62*J62)</f>
        <v>#VALUE!</v>
      </c>
      <c r="O62" s="5" t="str">
        <f>""</f>
        <v/>
      </c>
      <c r="P62" s="5" t="str">
        <f>""</f>
        <v/>
      </c>
      <c r="Q62" s="5" t="e">
        <f t="shared" ref="Q62" si="69">P62*O62</f>
        <v>#VALUE!</v>
      </c>
      <c r="R62" s="6" t="str">
        <f t="shared" ref="R62" si="70">IFERROR(Q62+N62+L62,"")</f>
        <v/>
      </c>
    </row>
    <row r="63" spans="1:18" hidden="1" x14ac:dyDescent="0.25">
      <c r="A63" t="s">
        <v>27</v>
      </c>
      <c r="B63" t="str">
        <f t="shared" ref="B63" si="71">IF($G62="","Hide","Show")</f>
        <v>Hide</v>
      </c>
      <c r="H63" t="str">
        <f>""</f>
        <v/>
      </c>
    </row>
    <row r="64" spans="1:18" hidden="1" x14ac:dyDescent="0.25">
      <c r="A64" t="s">
        <v>27</v>
      </c>
      <c r="B64" t="str">
        <f t="shared" ref="B64" si="72">IF($G62="","Hide","Show")</f>
        <v>Hide</v>
      </c>
    </row>
    <row r="65" spans="1:18" ht="17.25" x14ac:dyDescent="0.3">
      <c r="A65" t="s">
        <v>27</v>
      </c>
      <c r="B65" t="str">
        <f t="shared" ref="B65" si="73">IF($G66="","Hide","Show")</f>
        <v>Show</v>
      </c>
      <c r="C65" t="str">
        <f>"""Ceres4"",""TCP-LIVE"",""14012281"",""1"",""ENTREE"""</f>
        <v>"Ceres4","TCP-LIVE","14012281","1","ENTREE"</v>
      </c>
      <c r="D65" t="str">
        <f>"ENTREE"</f>
        <v>ENTREE</v>
      </c>
      <c r="E65" s="9" t="s">
        <v>10</v>
      </c>
      <c r="F65" s="2"/>
      <c r="G65" s="8" t="str">
        <f>"Entrees and Main Dish Items"</f>
        <v>Entrees and Main Dish Items</v>
      </c>
    </row>
    <row r="66" spans="1:18" x14ac:dyDescent="0.25">
      <c r="A66" t="s">
        <v>27</v>
      </c>
      <c r="B66" t="str">
        <f t="shared" ref="B66:B68" si="74">IF($G66="","Hide","Show")</f>
        <v>Show</v>
      </c>
      <c r="E66" s="1"/>
      <c r="F66" t="str">
        <f>"""Ceres4"",""TCP-LIVE"",""27"",""1"",""P250000"""</f>
        <v>"Ceres4","TCP-LIVE","27","1","P250000"</v>
      </c>
      <c r="G66" t="str">
        <f>"P250000"</f>
        <v>P250000</v>
      </c>
      <c r="H66" t="str">
        <f>"Entree - Beef Stew"</f>
        <v>Entree - Beef Stew</v>
      </c>
      <c r="I66" s="5" t="str">
        <f>"CS"</f>
        <v>CS</v>
      </c>
      <c r="J66" s="5">
        <v>11</v>
      </c>
      <c r="K66" s="5">
        <v>0</v>
      </c>
      <c r="L66" t="str">
        <f>IFERROR(IF(K66*J66=0,"0",K66*J66),0)</f>
        <v>0</v>
      </c>
      <c r="M66" s="5">
        <v>0</v>
      </c>
      <c r="N66" t="str">
        <f>IF(M66*J66=0,"0",M66*J66)</f>
        <v>0</v>
      </c>
      <c r="O66" s="5">
        <v>1.1000000000000001</v>
      </c>
      <c r="P66" s="5">
        <v>14.23175</v>
      </c>
      <c r="Q66" s="5">
        <f t="shared" ref="Q66" si="75">P66*O66</f>
        <v>15.654925</v>
      </c>
      <c r="R66" s="6">
        <f t="shared" ref="R66" si="76">IFERROR(Q66+N66+L66,"")</f>
        <v>15.654925</v>
      </c>
    </row>
    <row r="67" spans="1:18" x14ac:dyDescent="0.25">
      <c r="A67" t="s">
        <v>27</v>
      </c>
      <c r="B67" t="str">
        <f t="shared" ref="B67" si="77">IF($G66="","Hide","Show")</f>
        <v>Show</v>
      </c>
      <c r="H67" t="str">
        <f>"12-15 oz"</f>
        <v>12-15 oz</v>
      </c>
    </row>
    <row r="68" spans="1:18" x14ac:dyDescent="0.25">
      <c r="A68" t="s">
        <v>27</v>
      </c>
      <c r="B68" t="str">
        <f t="shared" si="74"/>
        <v>Show</v>
      </c>
      <c r="E68" s="1"/>
      <c r="F68" t="str">
        <f>"""Ceres4"",""TCP-LIVE"",""27"",""1"",""P269994"""</f>
        <v>"Ceres4","TCP-LIVE","27","1","P269994"</v>
      </c>
      <c r="G68" t="str">
        <f>"P269994"</f>
        <v>P269994</v>
      </c>
      <c r="H68" t="str">
        <f>"Entree- Corned Beef"</f>
        <v>Entree- Corned Beef</v>
      </c>
      <c r="I68" s="5" t="str">
        <f>"EA"</f>
        <v>EA</v>
      </c>
      <c r="J68" s="5">
        <v>1</v>
      </c>
      <c r="K68" s="5">
        <v>0</v>
      </c>
      <c r="L68" t="str">
        <f>IFERROR(IF(K68*J68=0,"0",K68*J68),0)</f>
        <v>0</v>
      </c>
      <c r="M68" s="5">
        <v>0</v>
      </c>
      <c r="N68" t="str">
        <f>IF(M68*J68=0,"0",M68*J68)</f>
        <v>0</v>
      </c>
      <c r="O68" s="5">
        <v>1.06</v>
      </c>
      <c r="P68" s="5">
        <v>4.29</v>
      </c>
      <c r="Q68" s="5">
        <f t="shared" ref="Q68" si="78">P68*O68</f>
        <v>4.5474000000000006</v>
      </c>
      <c r="R68" s="6">
        <f t="shared" ref="R68" si="79">IFERROR(Q68+N68+L68,"")</f>
        <v>4.5474000000000006</v>
      </c>
    </row>
    <row r="69" spans="1:18" x14ac:dyDescent="0.25">
      <c r="A69" t="s">
        <v>27</v>
      </c>
      <c r="B69" t="str">
        <f t="shared" ref="B69" si="80">IF($G68="","Hide","Show")</f>
        <v>Show</v>
      </c>
      <c r="H69" t="str">
        <f>"1-12 oz"</f>
        <v>1-12 oz</v>
      </c>
    </row>
    <row r="70" spans="1:18" x14ac:dyDescent="0.25">
      <c r="A70" t="s">
        <v>27</v>
      </c>
      <c r="B70" t="str">
        <f t="shared" ref="B70" si="81">IF($G66="","Hide","Show")</f>
        <v>Show</v>
      </c>
    </row>
    <row r="71" spans="1:18" ht="17.25" x14ac:dyDescent="0.3">
      <c r="A71" t="s">
        <v>27</v>
      </c>
      <c r="B71" t="str">
        <f t="shared" ref="B71" si="82">IF($G72="","Hide","Show")</f>
        <v>Show</v>
      </c>
      <c r="C71" t="str">
        <f>"""Ceres4"",""TCP-LIVE"",""14012281"",""1"",""FRUIT/ VEG"""</f>
        <v>"Ceres4","TCP-LIVE","14012281","1","FRUIT/ VEG"</v>
      </c>
      <c r="D71" t="str">
        <f>"FRUIT/ VEG"</f>
        <v>FRUIT/ VEG</v>
      </c>
      <c r="E71" s="9" t="s">
        <v>10</v>
      </c>
      <c r="F71" s="2"/>
      <c r="G71" s="8" t="str">
        <f>"Fruit and Vegetable Products"</f>
        <v>Fruit and Vegetable Products</v>
      </c>
    </row>
    <row r="72" spans="1:18" x14ac:dyDescent="0.25">
      <c r="A72" t="s">
        <v>27</v>
      </c>
      <c r="B72" t="str">
        <f t="shared" ref="B72:B86" si="83">IF($G72="","Hide","Show")</f>
        <v>Show</v>
      </c>
      <c r="E72" s="1"/>
      <c r="F72" t="str">
        <f>"""Ceres4"",""TCP-LIVE"",""27"",""1"",""P300007"""</f>
        <v>"Ceres4","TCP-LIVE","27","1","P300007"</v>
      </c>
      <c r="G72" t="str">
        <f>"P300007"</f>
        <v>P300007</v>
      </c>
      <c r="H72" t="str">
        <f>"Vegetable - Corn"</f>
        <v>Vegetable - Corn</v>
      </c>
      <c r="I72" s="5" t="str">
        <f>"EA"</f>
        <v>EA</v>
      </c>
      <c r="J72" s="5">
        <v>1</v>
      </c>
      <c r="K72" s="5">
        <v>0</v>
      </c>
      <c r="L72" t="str">
        <f>IFERROR(IF(K72*J72=0,"0",K72*J72),0)</f>
        <v>0</v>
      </c>
      <c r="M72" s="5">
        <v>0</v>
      </c>
      <c r="N72" t="str">
        <f>IF(M72*J72=0,"0",M72*J72)</f>
        <v>0</v>
      </c>
      <c r="O72" s="5">
        <v>1.06</v>
      </c>
      <c r="P72" s="5">
        <v>0.90591999999999995</v>
      </c>
      <c r="Q72" s="5">
        <f t="shared" ref="Q72" si="84">P72*O72</f>
        <v>0.9602752</v>
      </c>
      <c r="R72" s="6">
        <f t="shared" ref="R72" si="85">IFERROR(Q72+N72+L72,"")</f>
        <v>0.9602752</v>
      </c>
    </row>
    <row r="73" spans="1:18" x14ac:dyDescent="0.25">
      <c r="A73" t="s">
        <v>27</v>
      </c>
      <c r="B73" t="str">
        <f t="shared" ref="B73" si="86">IF($G72="","Hide","Show")</f>
        <v>Show</v>
      </c>
      <c r="H73" t="str">
        <f>"1 - 15 oz"</f>
        <v>1 - 15 oz</v>
      </c>
    </row>
    <row r="74" spans="1:18" x14ac:dyDescent="0.25">
      <c r="A74" t="s">
        <v>27</v>
      </c>
      <c r="B74" t="str">
        <f t="shared" si="83"/>
        <v>Show</v>
      </c>
      <c r="E74" s="1"/>
      <c r="F74" t="str">
        <f>"""Ceres4"",""TCP-LIVE"",""27"",""1"",""P300013"""</f>
        <v>"Ceres4","TCP-LIVE","27","1","P300013"</v>
      </c>
      <c r="G74" t="str">
        <f>"P300013"</f>
        <v>P300013</v>
      </c>
      <c r="H74" t="str">
        <f>"Fruit - Fruit Cocktail"</f>
        <v>Fruit - Fruit Cocktail</v>
      </c>
      <c r="I74" s="5" t="str">
        <f>"EA"</f>
        <v>EA</v>
      </c>
      <c r="J74" s="5">
        <v>1</v>
      </c>
      <c r="K74" s="5">
        <v>0</v>
      </c>
      <c r="L74" t="str">
        <f>IFERROR(IF(K74*J74=0,"0",K74*J74),0)</f>
        <v>0</v>
      </c>
      <c r="M74" s="5">
        <v>0</v>
      </c>
      <c r="N74" t="str">
        <f>IF(M74*J74=0,"0",M74*J74)</f>
        <v>0</v>
      </c>
      <c r="O74" s="5">
        <v>1.2</v>
      </c>
      <c r="P74" s="5">
        <v>1.083</v>
      </c>
      <c r="Q74" s="5">
        <f t="shared" ref="Q74" si="87">P74*O74</f>
        <v>1.2995999999999999</v>
      </c>
      <c r="R74" s="6">
        <f t="shared" ref="R74" si="88">IFERROR(Q74+N74+L74,"")</f>
        <v>1.2995999999999999</v>
      </c>
    </row>
    <row r="75" spans="1:18" x14ac:dyDescent="0.25">
      <c r="A75" t="s">
        <v>27</v>
      </c>
      <c r="B75" t="str">
        <f t="shared" ref="B75" si="89">IF($G74="","Hide","Show")</f>
        <v>Show</v>
      </c>
      <c r="H75" t="str">
        <f>"1-15 oz"</f>
        <v>1-15 oz</v>
      </c>
    </row>
    <row r="76" spans="1:18" x14ac:dyDescent="0.25">
      <c r="A76" t="s">
        <v>27</v>
      </c>
      <c r="B76" t="str">
        <f t="shared" si="83"/>
        <v>Show</v>
      </c>
      <c r="E76" s="1"/>
      <c r="F76" t="str">
        <f>"""Ceres4"",""TCP-LIVE"",""27"",""1"",""P300042"""</f>
        <v>"Ceres4","TCP-LIVE","27","1","P300042"</v>
      </c>
      <c r="G76" t="str">
        <f>"P300042"</f>
        <v>P300042</v>
      </c>
      <c r="H76" t="str">
        <f>"Fruit - Peaches Sliced"</f>
        <v>Fruit - Peaches Sliced</v>
      </c>
      <c r="I76" s="5" t="str">
        <f>"CS"</f>
        <v>CS</v>
      </c>
      <c r="J76" s="5">
        <v>12</v>
      </c>
      <c r="K76" s="5">
        <v>0</v>
      </c>
      <c r="L76" t="str">
        <f>IFERROR(IF(K76*J76=0,"0",K76*J76),0)</f>
        <v>0</v>
      </c>
      <c r="M76" s="5">
        <v>0</v>
      </c>
      <c r="N76" t="str">
        <f>IF(M76*J76=0,"0",M76*J76)</f>
        <v>0</v>
      </c>
      <c r="O76" s="5">
        <v>1.1000000000000001</v>
      </c>
      <c r="P76" s="5">
        <v>12.15606</v>
      </c>
      <c r="Q76" s="5">
        <f t="shared" ref="Q76" si="90">P76*O76</f>
        <v>13.371666000000001</v>
      </c>
      <c r="R76" s="6">
        <f t="shared" ref="R76" si="91">IFERROR(Q76+N76+L76,"")</f>
        <v>13.371666000000001</v>
      </c>
    </row>
    <row r="77" spans="1:18" x14ac:dyDescent="0.25">
      <c r="A77" t="s">
        <v>27</v>
      </c>
      <c r="B77" t="str">
        <f t="shared" ref="B77" si="92">IF($G76="","Hide","Show")</f>
        <v>Show</v>
      </c>
      <c r="H77" t="str">
        <f>"12-15 oz"</f>
        <v>12-15 oz</v>
      </c>
    </row>
    <row r="78" spans="1:18" x14ac:dyDescent="0.25">
      <c r="A78" t="s">
        <v>27</v>
      </c>
      <c r="B78" t="str">
        <f t="shared" si="83"/>
        <v>Show</v>
      </c>
      <c r="E78" s="1"/>
      <c r="F78" t="str">
        <f>"""Ceres4"",""TCP-LIVE"",""27"",""1"",""P300076"""</f>
        <v>"Ceres4","TCP-LIVE","27","1","P300076"</v>
      </c>
      <c r="G78" t="str">
        <f>"P300076"</f>
        <v>P300076</v>
      </c>
      <c r="H78" t="str">
        <f>"Fruit -  Fruit Cocktail"</f>
        <v>Fruit -  Fruit Cocktail</v>
      </c>
      <c r="I78" s="5" t="str">
        <f>"CS"</f>
        <v>CS</v>
      </c>
      <c r="J78" s="5">
        <v>11</v>
      </c>
      <c r="K78" s="5">
        <v>0</v>
      </c>
      <c r="L78" t="str">
        <f>IFERROR(IF(K78*J78=0,"0",K78*J78),0)</f>
        <v>0</v>
      </c>
      <c r="M78" s="5">
        <v>0</v>
      </c>
      <c r="N78" t="str">
        <f>IF(M78*J78=0,"0",M78*J78)</f>
        <v>0</v>
      </c>
      <c r="O78" s="5">
        <v>1.2</v>
      </c>
      <c r="P78" s="5">
        <v>12.99601</v>
      </c>
      <c r="Q78" s="5">
        <f t="shared" ref="Q78" si="93">P78*O78</f>
        <v>15.595212</v>
      </c>
      <c r="R78" s="6">
        <f t="shared" ref="R78" si="94">IFERROR(Q78+N78+L78,"")</f>
        <v>15.595212</v>
      </c>
    </row>
    <row r="79" spans="1:18" x14ac:dyDescent="0.25">
      <c r="A79" t="s">
        <v>27</v>
      </c>
      <c r="B79" t="str">
        <f t="shared" ref="B79" si="95">IF($G78="","Hide","Show")</f>
        <v>Show</v>
      </c>
      <c r="H79" t="str">
        <f>"12-15 oz"</f>
        <v>12-15 oz</v>
      </c>
    </row>
    <row r="80" spans="1:18" x14ac:dyDescent="0.25">
      <c r="A80" t="s">
        <v>27</v>
      </c>
      <c r="B80" t="str">
        <f t="shared" si="83"/>
        <v>Show</v>
      </c>
      <c r="E80" s="1"/>
      <c r="F80" t="str">
        <f>"""Ceres4"",""TCP-LIVE"",""27"",""1"",""P300081"""</f>
        <v>"Ceres4","TCP-LIVE","27","1","P300081"</v>
      </c>
      <c r="G80" t="str">
        <f>"P300081"</f>
        <v>P300081</v>
      </c>
      <c r="H80" t="str">
        <f>"Fruit - Applesauce Individual Pouches"</f>
        <v>Fruit - Applesauce Individual Pouches</v>
      </c>
      <c r="I80" s="5" t="str">
        <f>"CS"</f>
        <v>CS</v>
      </c>
      <c r="J80" s="5">
        <v>18</v>
      </c>
      <c r="K80" s="5">
        <v>0</v>
      </c>
      <c r="L80" t="str">
        <f>IFERROR(IF(K80*J80=0,"0",K80*J80),0)</f>
        <v>0</v>
      </c>
      <c r="M80" s="5">
        <v>0</v>
      </c>
      <c r="N80" t="str">
        <f>IF(M80*J80=0,"0",M80*J80)</f>
        <v>0</v>
      </c>
      <c r="O80" s="5">
        <v>1.2</v>
      </c>
      <c r="P80" s="5">
        <v>19.008009999999999</v>
      </c>
      <c r="Q80" s="5">
        <f t="shared" ref="Q80" si="96">P80*O80</f>
        <v>22.809611999999998</v>
      </c>
      <c r="R80" s="6">
        <f t="shared" ref="R80" si="97">IFERROR(Q80+N80+L80,"")</f>
        <v>22.809611999999998</v>
      </c>
    </row>
    <row r="81" spans="1:18" x14ac:dyDescent="0.25">
      <c r="A81" t="s">
        <v>27</v>
      </c>
      <c r="B81" t="str">
        <f t="shared" ref="B81" si="98">IF($G80="","Hide","Show")</f>
        <v>Show</v>
      </c>
      <c r="H81" t="str">
        <f>"12-6-4 oz"</f>
        <v>12-6-4 oz</v>
      </c>
    </row>
    <row r="82" spans="1:18" x14ac:dyDescent="0.25">
      <c r="A82" t="s">
        <v>27</v>
      </c>
      <c r="B82" t="str">
        <f t="shared" si="83"/>
        <v>Show</v>
      </c>
      <c r="E82" s="1"/>
      <c r="F82" t="str">
        <f>"""Ceres4"",""TCP-LIVE"",""27"",""1"",""P319990"""</f>
        <v>"Ceres4","TCP-LIVE","27","1","P319990"</v>
      </c>
      <c r="G82" t="str">
        <f>"P319990"</f>
        <v>P319990</v>
      </c>
      <c r="H82" t="str">
        <f>"Vegetable - Hot Green Chili"</f>
        <v>Vegetable - Hot Green Chili</v>
      </c>
      <c r="I82" s="5" t="str">
        <f>"BAG"</f>
        <v>BAG</v>
      </c>
      <c r="J82" s="5">
        <v>5</v>
      </c>
      <c r="K82" s="5">
        <v>0</v>
      </c>
      <c r="L82" t="str">
        <f>IFERROR(IF(K82*J82=0,"0",K82*J82),0)</f>
        <v>0</v>
      </c>
      <c r="M82" s="5">
        <v>0</v>
      </c>
      <c r="N82" t="str">
        <f>IF(M82*J82=0,"0",M82*J82)</f>
        <v>0</v>
      </c>
      <c r="O82" s="5">
        <v>1</v>
      </c>
      <c r="P82" s="5">
        <v>6.2953299999999999</v>
      </c>
      <c r="Q82" s="5">
        <f t="shared" ref="Q82" si="99">P82*O82</f>
        <v>6.2953299999999999</v>
      </c>
      <c r="R82" s="6">
        <f t="shared" ref="R82" si="100">IFERROR(Q82+N82+L82,"")</f>
        <v>6.2953299999999999</v>
      </c>
    </row>
    <row r="83" spans="1:18" x14ac:dyDescent="0.25">
      <c r="A83" t="s">
        <v>27</v>
      </c>
      <c r="B83" t="str">
        <f t="shared" ref="B83" si="101">IF($G82="","Hide","Show")</f>
        <v>Show</v>
      </c>
      <c r="H83" t="str">
        <f>"5 lb bag"</f>
        <v>5 lb bag</v>
      </c>
    </row>
    <row r="84" spans="1:18" x14ac:dyDescent="0.25">
      <c r="A84" t="s">
        <v>27</v>
      </c>
      <c r="B84" t="str">
        <f t="shared" si="83"/>
        <v>Show</v>
      </c>
      <c r="E84" s="1"/>
      <c r="F84" t="str">
        <f>"""Ceres4"",""TCP-LIVE"",""27"",""1"",""P319991"""</f>
        <v>"Ceres4","TCP-LIVE","27","1","P319991"</v>
      </c>
      <c r="G84" t="str">
        <f>"P319991"</f>
        <v>P319991</v>
      </c>
      <c r="H84" t="str">
        <f>"Vegetable - Mixed vegetables"</f>
        <v>Vegetable - Mixed vegetables</v>
      </c>
      <c r="I84" s="5" t="str">
        <f>"EA"</f>
        <v>EA</v>
      </c>
      <c r="J84" s="5">
        <v>1</v>
      </c>
      <c r="K84" s="5">
        <v>0</v>
      </c>
      <c r="L84" t="str">
        <f>IFERROR(IF(K84*J84=0,"0",K84*J84),0)</f>
        <v>0</v>
      </c>
      <c r="M84" s="5">
        <v>0</v>
      </c>
      <c r="N84" t="str">
        <f>IF(M84*J84=0,"0",M84*J84)</f>
        <v>0</v>
      </c>
      <c r="O84" s="5">
        <v>1.06</v>
      </c>
      <c r="P84" s="5">
        <v>0.92862999999999996</v>
      </c>
      <c r="Q84" s="5">
        <f t="shared" ref="Q84" si="102">P84*O84</f>
        <v>0.9843478</v>
      </c>
      <c r="R84" s="6">
        <f t="shared" ref="R84" si="103">IFERROR(Q84+N84+L84,"")</f>
        <v>0.9843478</v>
      </c>
    </row>
    <row r="85" spans="1:18" x14ac:dyDescent="0.25">
      <c r="A85" t="s">
        <v>27</v>
      </c>
      <c r="B85" t="str">
        <f t="shared" ref="B85" si="104">IF($G84="","Hide","Show")</f>
        <v>Show</v>
      </c>
      <c r="H85" t="str">
        <f>"1-15 oz"</f>
        <v>1-15 oz</v>
      </c>
    </row>
    <row r="86" spans="1:18" x14ac:dyDescent="0.25">
      <c r="A86" t="s">
        <v>27</v>
      </c>
      <c r="B86" t="str">
        <f t="shared" si="83"/>
        <v>Show</v>
      </c>
      <c r="E86" s="1"/>
      <c r="F86" t="str">
        <f>"""Ceres4"",""TCP-LIVE"",""27"",""1"",""P339996"""</f>
        <v>"Ceres4","TCP-LIVE","27","1","P339996"</v>
      </c>
      <c r="G86" t="str">
        <f>"P339996"</f>
        <v>P339996</v>
      </c>
      <c r="H86" t="str">
        <f>"Vegetable - Green Beans"</f>
        <v>Vegetable - Green Beans</v>
      </c>
      <c r="I86" s="5" t="str">
        <f>"EA"</f>
        <v>EA</v>
      </c>
      <c r="J86" s="5">
        <v>1</v>
      </c>
      <c r="K86" s="5">
        <v>0</v>
      </c>
      <c r="L86" t="str">
        <f>IFERROR(IF(K86*J86=0,"0",K86*J86),0)</f>
        <v>0</v>
      </c>
      <c r="M86" s="5">
        <v>0</v>
      </c>
      <c r="N86" t="str">
        <f>IF(M86*J86=0,"0",M86*J86)</f>
        <v>0</v>
      </c>
      <c r="O86" s="5">
        <v>1.06</v>
      </c>
      <c r="P86" s="5">
        <v>0.88109000000000004</v>
      </c>
      <c r="Q86" s="5">
        <f t="shared" ref="Q86" si="105">P86*O86</f>
        <v>0.9339554000000001</v>
      </c>
      <c r="R86" s="6">
        <f t="shared" ref="R86" si="106">IFERROR(Q86+N86+L86,"")</f>
        <v>0.9339554000000001</v>
      </c>
    </row>
    <row r="87" spans="1:18" x14ac:dyDescent="0.25">
      <c r="A87" t="s">
        <v>27</v>
      </c>
      <c r="B87" t="str">
        <f t="shared" ref="B87" si="107">IF($G86="","Hide","Show")</f>
        <v>Show</v>
      </c>
      <c r="H87" t="str">
        <f>"1 - 15 oz can"</f>
        <v>1 - 15 oz can</v>
      </c>
    </row>
    <row r="88" spans="1:18" x14ac:dyDescent="0.25">
      <c r="A88" t="s">
        <v>27</v>
      </c>
      <c r="B88" t="str">
        <f t="shared" ref="B88" si="108">IF($G72="","Hide","Show")</f>
        <v>Show</v>
      </c>
    </row>
    <row r="89" spans="1:18" ht="17.25" hidden="1" x14ac:dyDescent="0.3">
      <c r="A89" t="s">
        <v>27</v>
      </c>
      <c r="B89" t="str">
        <f t="shared" ref="B89" si="109">IF($G90="","Hide","Show")</f>
        <v>Hide</v>
      </c>
      <c r="C89" t="str">
        <f>"""Ceres4"",""TCP-LIVE"",""14012281"",""1"",""GRAIN"""</f>
        <v>"Ceres4","TCP-LIVE","14012281","1","GRAIN"</v>
      </c>
      <c r="D89" t="str">
        <f>"GRAIN"</f>
        <v>GRAIN</v>
      </c>
      <c r="E89" s="9" t="s">
        <v>10</v>
      </c>
      <c r="F89" s="2"/>
      <c r="G89" s="8" t="str">
        <f>"Grain-based Products"</f>
        <v>Grain-based Products</v>
      </c>
    </row>
    <row r="90" spans="1:18" hidden="1" x14ac:dyDescent="0.25">
      <c r="A90" t="s">
        <v>27</v>
      </c>
      <c r="B90" t="str">
        <f t="shared" ref="B90" si="110">IF($G90="","Hide","Show")</f>
        <v>Hide</v>
      </c>
      <c r="E90" s="1"/>
      <c r="F90" t="str">
        <f>""</f>
        <v/>
      </c>
      <c r="G90" t="str">
        <f>""</f>
        <v/>
      </c>
      <c r="H90" t="str">
        <f>""</f>
        <v/>
      </c>
      <c r="I90" s="5" t="str">
        <f>""</f>
        <v/>
      </c>
      <c r="J90" s="5" t="str">
        <f>""</f>
        <v/>
      </c>
      <c r="K90" s="5" t="str">
        <f>"0"</f>
        <v>0</v>
      </c>
      <c r="L90">
        <f>IFERROR(IF(K90*J90=0,"0",K90*J90),0)</f>
        <v>0</v>
      </c>
      <c r="M90" s="5" t="str">
        <f>""</f>
        <v/>
      </c>
      <c r="N90" t="e">
        <f>IF(M90*J90=0,"0",M90*J90)</f>
        <v>#VALUE!</v>
      </c>
      <c r="O90" s="5" t="str">
        <f>""</f>
        <v/>
      </c>
      <c r="P90" s="5" t="str">
        <f>""</f>
        <v/>
      </c>
      <c r="Q90" s="5" t="e">
        <f t="shared" ref="Q90" si="111">P90*O90</f>
        <v>#VALUE!</v>
      </c>
      <c r="R90" s="6" t="str">
        <f t="shared" ref="R90" si="112">IFERROR(Q90+N90+L90,"")</f>
        <v/>
      </c>
    </row>
    <row r="91" spans="1:18" hidden="1" x14ac:dyDescent="0.25">
      <c r="A91" t="s">
        <v>27</v>
      </c>
      <c r="B91" t="str">
        <f t="shared" ref="B91" si="113">IF($G90="","Hide","Show")</f>
        <v>Hide</v>
      </c>
      <c r="H91" t="str">
        <f>""</f>
        <v/>
      </c>
    </row>
    <row r="92" spans="1:18" hidden="1" x14ac:dyDescent="0.25">
      <c r="A92" t="s">
        <v>27</v>
      </c>
      <c r="B92" t="str">
        <f t="shared" ref="B92" si="114">IF($G90="","Hide","Show")</f>
        <v>Hide</v>
      </c>
    </row>
    <row r="93" spans="1:18" ht="17.25" x14ac:dyDescent="0.3">
      <c r="A93" t="s">
        <v>27</v>
      </c>
      <c r="B93" t="str">
        <f t="shared" ref="B93" si="115">IF($G94="","Hide","Show")</f>
        <v>Show</v>
      </c>
      <c r="C93" t="str">
        <f>"""Ceres4"",""TCP-LIVE"",""14012281"",""1"",""HOUSE PAP"""</f>
        <v>"Ceres4","TCP-LIVE","14012281","1","HOUSE PAP"</v>
      </c>
      <c r="D93" t="str">
        <f>"HOUSE PAP"</f>
        <v>HOUSE PAP</v>
      </c>
      <c r="E93" s="9" t="s">
        <v>10</v>
      </c>
      <c r="F93" s="2"/>
      <c r="G93" s="8" t="str">
        <f>"Household Paper &amp; Plastic Items"</f>
        <v>Household Paper &amp; Plastic Items</v>
      </c>
    </row>
    <row r="94" spans="1:18" x14ac:dyDescent="0.25">
      <c r="A94" t="s">
        <v>27</v>
      </c>
      <c r="B94" t="str">
        <f t="shared" ref="B94:B96" si="116">IF($G94="","Hide","Show")</f>
        <v>Show</v>
      </c>
      <c r="E94" s="1"/>
      <c r="F94" t="str">
        <f>"""Ceres4"",""TCP-LIVE"",""27"",""1"",""P950036"""</f>
        <v>"Ceres4","TCP-LIVE","27","1","P950036"</v>
      </c>
      <c r="G94" t="str">
        <f>"P950036"</f>
        <v>P950036</v>
      </c>
      <c r="H94" t="str">
        <f>"Household - Cutlery Forks"</f>
        <v>Household - Cutlery Forks</v>
      </c>
      <c r="I94" s="5" t="str">
        <f>"CS"</f>
        <v>CS</v>
      </c>
      <c r="J94" s="5">
        <v>8</v>
      </c>
      <c r="K94" s="5">
        <v>0</v>
      </c>
      <c r="L94" t="str">
        <f>IFERROR(IF(K94*J94=0,"0",K94*J94),0)</f>
        <v>0</v>
      </c>
      <c r="M94" s="5">
        <v>0</v>
      </c>
      <c r="N94" t="str">
        <f>IF(M94*J94=0,"0",M94*J94)</f>
        <v>0</v>
      </c>
      <c r="O94" s="5">
        <v>1.2</v>
      </c>
      <c r="P94" s="5">
        <v>14.27</v>
      </c>
      <c r="Q94" s="5">
        <f t="shared" ref="Q94" si="117">P94*O94</f>
        <v>17.123999999999999</v>
      </c>
      <c r="R94" s="6">
        <f t="shared" ref="R94" si="118">IFERROR(Q94+N94+L94,"")</f>
        <v>17.123999999999999</v>
      </c>
    </row>
    <row r="95" spans="1:18" x14ac:dyDescent="0.25">
      <c r="A95" t="s">
        <v>27</v>
      </c>
      <c r="B95" t="str">
        <f t="shared" ref="B95" si="119">IF($G94="","Hide","Show")</f>
        <v>Show</v>
      </c>
      <c r="H95" t="str">
        <f>"24- 24 ct"</f>
        <v>24- 24 ct</v>
      </c>
    </row>
    <row r="96" spans="1:18" x14ac:dyDescent="0.25">
      <c r="A96" t="s">
        <v>27</v>
      </c>
      <c r="B96" t="str">
        <f t="shared" si="116"/>
        <v>Show</v>
      </c>
      <c r="E96" s="1"/>
      <c r="F96" t="str">
        <f>"""Ceres4"",""TCP-LIVE"",""27"",""1"",""P950037"""</f>
        <v>"Ceres4","TCP-LIVE","27","1","P950037"</v>
      </c>
      <c r="G96" t="str">
        <f>"P950037"</f>
        <v>P950037</v>
      </c>
      <c r="H96" t="str">
        <f>"Household - Combo Cutlery"</f>
        <v>Household - Combo Cutlery</v>
      </c>
      <c r="I96" s="5" t="str">
        <f>"CS"</f>
        <v>CS</v>
      </c>
      <c r="J96" s="5">
        <v>8</v>
      </c>
      <c r="K96" s="5">
        <v>0</v>
      </c>
      <c r="L96" t="str">
        <f>IFERROR(IF(K96*J96=0,"0",K96*J96),0)</f>
        <v>0</v>
      </c>
      <c r="M96" s="5">
        <v>0</v>
      </c>
      <c r="N96" t="str">
        <f>IF(M96*J96=0,"0",M96*J96)</f>
        <v>0</v>
      </c>
      <c r="O96" s="5">
        <v>1.1000000000000001</v>
      </c>
      <c r="P96" s="5">
        <v>14.27</v>
      </c>
      <c r="Q96" s="5">
        <f t="shared" ref="Q96" si="120">P96*O96</f>
        <v>15.697000000000001</v>
      </c>
      <c r="R96" s="6">
        <f t="shared" ref="R96" si="121">IFERROR(Q96+N96+L96,"")</f>
        <v>15.697000000000001</v>
      </c>
    </row>
    <row r="97" spans="1:18" x14ac:dyDescent="0.25">
      <c r="A97" t="s">
        <v>27</v>
      </c>
      <c r="B97" t="str">
        <f t="shared" ref="B97" si="122">IF($G96="","Hide","Show")</f>
        <v>Show</v>
      </c>
      <c r="H97" t="str">
        <f>"24-24 ct"</f>
        <v>24-24 ct</v>
      </c>
    </row>
    <row r="98" spans="1:18" x14ac:dyDescent="0.25">
      <c r="A98" t="s">
        <v>27</v>
      </c>
      <c r="B98" t="str">
        <f t="shared" ref="B98" si="123">IF($G94="","Hide","Show")</f>
        <v>Show</v>
      </c>
    </row>
    <row r="99" spans="1:18" ht="17.25" x14ac:dyDescent="0.3">
      <c r="A99" t="s">
        <v>27</v>
      </c>
      <c r="B99" t="str">
        <f t="shared" ref="B99" si="124">IF($G100="","Hide","Show")</f>
        <v>Show</v>
      </c>
      <c r="C99" t="str">
        <f>"""Ceres4"",""TCP-LIVE"",""14012281"",""1"",""HOUSE/SAN"""</f>
        <v>"Ceres4","TCP-LIVE","14012281","1","HOUSE/SAN"</v>
      </c>
      <c r="D99" t="str">
        <f>"HOUSE/SAN"</f>
        <v>HOUSE/SAN</v>
      </c>
      <c r="E99" s="9" t="s">
        <v>10</v>
      </c>
      <c r="F99" s="2"/>
      <c r="G99" s="8" t="str">
        <f>"Household and Sanitation Products"</f>
        <v>Household and Sanitation Products</v>
      </c>
    </row>
    <row r="100" spans="1:18" x14ac:dyDescent="0.25">
      <c r="A100" t="s">
        <v>27</v>
      </c>
      <c r="B100" t="str">
        <f t="shared" ref="B100" si="125">IF($G100="","Hide","Show")</f>
        <v>Show</v>
      </c>
      <c r="E100" s="1"/>
      <c r="F100" t="str">
        <f>"""Ceres4"",""TCP-LIVE"",""27"",""1"",""P970004"""</f>
        <v>"Ceres4","TCP-LIVE","27","1","P970004"</v>
      </c>
      <c r="G100" t="str">
        <f>"P970004"</f>
        <v>P970004</v>
      </c>
      <c r="H100" t="str">
        <f>"Personal Health - Dems Deodorant Stick"</f>
        <v>Personal Health - Dems Deodorant Stick</v>
      </c>
      <c r="I100" s="5" t="str">
        <f>"CS"</f>
        <v>CS</v>
      </c>
      <c r="J100" s="5">
        <v>4</v>
      </c>
      <c r="K100" s="5">
        <v>0</v>
      </c>
      <c r="L100" t="str">
        <f>IFERROR(IF(K100*J100=0,"0",K100*J100),0)</f>
        <v>0</v>
      </c>
      <c r="M100" s="5">
        <v>0</v>
      </c>
      <c r="N100" t="str">
        <f>IF(M100*J100=0,"0",M100*J100)</f>
        <v>0</v>
      </c>
      <c r="O100" s="5">
        <v>1.1000000000000001</v>
      </c>
      <c r="P100" s="5">
        <v>14.45</v>
      </c>
      <c r="Q100" s="5">
        <f t="shared" ref="Q100" si="126">P100*O100</f>
        <v>15.895000000000001</v>
      </c>
      <c r="R100" s="6">
        <f t="shared" ref="R100" si="127">IFERROR(Q100+N100+L100,"")</f>
        <v>15.895000000000001</v>
      </c>
    </row>
    <row r="101" spans="1:18" x14ac:dyDescent="0.25">
      <c r="A101" t="s">
        <v>27</v>
      </c>
      <c r="B101" t="str">
        <f t="shared" ref="B101" si="128">IF($G100="","Hide","Show")</f>
        <v>Show</v>
      </c>
      <c r="H101" t="str">
        <f>"12-1.8 oz"</f>
        <v>12-1.8 oz</v>
      </c>
    </row>
    <row r="102" spans="1:18" x14ac:dyDescent="0.25">
      <c r="A102" t="s">
        <v>27</v>
      </c>
      <c r="B102" t="str">
        <f t="shared" ref="B102" si="129">IF($G100="","Hide","Show")</f>
        <v>Show</v>
      </c>
    </row>
    <row r="103" spans="1:18" ht="17.25" hidden="1" x14ac:dyDescent="0.3">
      <c r="A103" t="s">
        <v>27</v>
      </c>
      <c r="B103" t="str">
        <f t="shared" ref="B103" si="130">IF($G104="","Hide","Show")</f>
        <v>Hide</v>
      </c>
      <c r="C103" t="str">
        <f>"""Ceres4"",""TCP-LIVE"",""14012281"",""1"",""JUICE"""</f>
        <v>"Ceres4","TCP-LIVE","14012281","1","JUICE"</v>
      </c>
      <c r="D103" t="str">
        <f>"JUICE"</f>
        <v>JUICE</v>
      </c>
      <c r="E103" s="9" t="s">
        <v>10</v>
      </c>
      <c r="F103" s="2"/>
      <c r="G103" s="8" t="str">
        <f>"Juices"</f>
        <v>Juices</v>
      </c>
    </row>
    <row r="104" spans="1:18" hidden="1" x14ac:dyDescent="0.25">
      <c r="A104" t="s">
        <v>27</v>
      </c>
      <c r="B104" t="str">
        <f t="shared" ref="B104" si="131">IF($G104="","Hide","Show")</f>
        <v>Hide</v>
      </c>
      <c r="E104" s="1"/>
      <c r="F104" t="str">
        <f>""</f>
        <v/>
      </c>
      <c r="G104" t="str">
        <f>""</f>
        <v/>
      </c>
      <c r="H104" t="str">
        <f>""</f>
        <v/>
      </c>
      <c r="I104" s="5" t="str">
        <f>""</f>
        <v/>
      </c>
      <c r="J104" s="5" t="str">
        <f>""</f>
        <v/>
      </c>
      <c r="K104" s="5" t="str">
        <f>"0"</f>
        <v>0</v>
      </c>
      <c r="L104">
        <f>IFERROR(IF(K104*J104=0,"0",K104*J104),0)</f>
        <v>0</v>
      </c>
      <c r="M104" s="5" t="str">
        <f>""</f>
        <v/>
      </c>
      <c r="N104" t="e">
        <f>IF(M104*J104=0,"0",M104*J104)</f>
        <v>#VALUE!</v>
      </c>
      <c r="O104" s="5" t="str">
        <f>""</f>
        <v/>
      </c>
      <c r="P104" s="5" t="str">
        <f>""</f>
        <v/>
      </c>
      <c r="Q104" s="5" t="e">
        <f t="shared" ref="Q104" si="132">P104*O104</f>
        <v>#VALUE!</v>
      </c>
      <c r="R104" s="6" t="str">
        <f t="shared" ref="R104" si="133">IFERROR(Q104+N104+L104,"")</f>
        <v/>
      </c>
    </row>
    <row r="105" spans="1:18" hidden="1" x14ac:dyDescent="0.25">
      <c r="A105" t="s">
        <v>27</v>
      </c>
      <c r="B105" t="str">
        <f t="shared" ref="B105" si="134">IF($G104="","Hide","Show")</f>
        <v>Hide</v>
      </c>
      <c r="H105" t="str">
        <f>""</f>
        <v/>
      </c>
    </row>
    <row r="106" spans="1:18" hidden="1" x14ac:dyDescent="0.25">
      <c r="A106" t="s">
        <v>27</v>
      </c>
      <c r="B106" t="str">
        <f t="shared" ref="B106" si="135">IF($G104="","Hide","Show")</f>
        <v>Hide</v>
      </c>
    </row>
    <row r="107" spans="1:18" ht="17.25" hidden="1" x14ac:dyDescent="0.3">
      <c r="A107" t="s">
        <v>27</v>
      </c>
      <c r="B107" t="str">
        <f t="shared" ref="B107" si="136">IF($G108="","Hide","Show")</f>
        <v>Hide</v>
      </c>
      <c r="C107" t="str">
        <f>"""Ceres4"",""TCP-LIVE"",""14012281"",""1"",""MIXED/ASST"""</f>
        <v>"Ceres4","TCP-LIVE","14012281","1","MIXED/ASST"</v>
      </c>
      <c r="D107" t="str">
        <f>"MIXED/ASST"</f>
        <v>MIXED/ASST</v>
      </c>
      <c r="E107" s="9" t="s">
        <v>10</v>
      </c>
      <c r="F107" s="2"/>
      <c r="G107" s="8" t="str">
        <f>"Mixed and Assorted Food Products"</f>
        <v>Mixed and Assorted Food Products</v>
      </c>
    </row>
    <row r="108" spans="1:18" hidden="1" x14ac:dyDescent="0.25">
      <c r="A108" t="s">
        <v>27</v>
      </c>
      <c r="B108" t="str">
        <f t="shared" ref="B108" si="137">IF($G108="","Hide","Show")</f>
        <v>Hide</v>
      </c>
      <c r="E108" s="1"/>
      <c r="F108" t="str">
        <f>""</f>
        <v/>
      </c>
      <c r="G108" t="str">
        <f>""</f>
        <v/>
      </c>
      <c r="H108" t="str">
        <f>""</f>
        <v/>
      </c>
      <c r="I108" s="5" t="str">
        <f>""</f>
        <v/>
      </c>
      <c r="J108" s="5" t="str">
        <f>""</f>
        <v/>
      </c>
      <c r="K108" s="5" t="str">
        <f>"0"</f>
        <v>0</v>
      </c>
      <c r="L108">
        <f>IFERROR(IF(K108*J108=0,"0",K108*J108),0)</f>
        <v>0</v>
      </c>
      <c r="M108" s="5" t="str">
        <f>""</f>
        <v/>
      </c>
      <c r="N108" t="e">
        <f>IF(M108*J108=0,"0",M108*J108)</f>
        <v>#VALUE!</v>
      </c>
      <c r="O108" s="5" t="str">
        <f>""</f>
        <v/>
      </c>
      <c r="P108" s="5" t="str">
        <f>""</f>
        <v/>
      </c>
      <c r="Q108" s="5" t="e">
        <f t="shared" ref="Q108" si="138">P108*O108</f>
        <v>#VALUE!</v>
      </c>
      <c r="R108" s="6" t="str">
        <f t="shared" ref="R108" si="139">IFERROR(Q108+N108+L108,"")</f>
        <v/>
      </c>
    </row>
    <row r="109" spans="1:18" hidden="1" x14ac:dyDescent="0.25">
      <c r="A109" t="s">
        <v>27</v>
      </c>
      <c r="B109" t="str">
        <f t="shared" ref="B109" si="140">IF($G108="","Hide","Show")</f>
        <v>Hide</v>
      </c>
      <c r="H109" t="str">
        <f>""</f>
        <v/>
      </c>
    </row>
    <row r="110" spans="1:18" hidden="1" x14ac:dyDescent="0.25">
      <c r="A110" t="s">
        <v>27</v>
      </c>
      <c r="B110" t="str">
        <f t="shared" ref="B110" si="141">IF($G108="","Hide","Show")</f>
        <v>Hide</v>
      </c>
    </row>
    <row r="111" spans="1:18" ht="17.25" hidden="1" x14ac:dyDescent="0.3">
      <c r="A111" t="s">
        <v>27</v>
      </c>
      <c r="B111" t="str">
        <f t="shared" ref="B111" si="142">IF($G112="","Hide","Show")</f>
        <v>Hide</v>
      </c>
      <c r="C111" t="str">
        <f>"""Ceres4"",""TCP-LIVE"",""14012281"",""1"",""NF"""</f>
        <v>"Ceres4","TCP-LIVE","14012281","1","NF"</v>
      </c>
      <c r="D111" t="str">
        <f>"NF"</f>
        <v>NF</v>
      </c>
      <c r="E111" s="9" t="s">
        <v>10</v>
      </c>
      <c r="F111" s="2"/>
      <c r="G111" s="8" t="str">
        <f>"Non-Food Items and Products"</f>
        <v>Non-Food Items and Products</v>
      </c>
    </row>
    <row r="112" spans="1:18" hidden="1" x14ac:dyDescent="0.25">
      <c r="A112" t="s">
        <v>27</v>
      </c>
      <c r="B112" t="str">
        <f t="shared" ref="B112" si="143">IF($G112="","Hide","Show")</f>
        <v>Hide</v>
      </c>
      <c r="E112" s="1"/>
      <c r="F112" t="str">
        <f>""</f>
        <v/>
      </c>
      <c r="G112" t="str">
        <f>""</f>
        <v/>
      </c>
      <c r="H112" t="str">
        <f>""</f>
        <v/>
      </c>
      <c r="I112" s="5" t="str">
        <f>""</f>
        <v/>
      </c>
      <c r="J112" s="5" t="str">
        <f>""</f>
        <v/>
      </c>
      <c r="K112" s="5" t="str">
        <f>"0"</f>
        <v>0</v>
      </c>
      <c r="L112">
        <f>IFERROR(IF(K112*J112=0,"0",K112*J112),0)</f>
        <v>0</v>
      </c>
      <c r="M112" s="5" t="str">
        <f>""</f>
        <v/>
      </c>
      <c r="N112" t="e">
        <f>IF(M112*J112=0,"0",M112*J112)</f>
        <v>#VALUE!</v>
      </c>
      <c r="O112" s="5" t="str">
        <f>""</f>
        <v/>
      </c>
      <c r="P112" s="5" t="str">
        <f>""</f>
        <v/>
      </c>
      <c r="Q112" s="5" t="e">
        <f t="shared" ref="Q112" si="144">P112*O112</f>
        <v>#VALUE!</v>
      </c>
      <c r="R112" s="6" t="str">
        <f t="shared" ref="R112" si="145">IFERROR(Q112+N112+L112,"")</f>
        <v/>
      </c>
    </row>
    <row r="113" spans="1:18" hidden="1" x14ac:dyDescent="0.25">
      <c r="A113" t="s">
        <v>27</v>
      </c>
      <c r="B113" t="str">
        <f t="shared" ref="B113" si="146">IF($G112="","Hide","Show")</f>
        <v>Hide</v>
      </c>
      <c r="H113" t="str">
        <f>""</f>
        <v/>
      </c>
    </row>
    <row r="114" spans="1:18" hidden="1" x14ac:dyDescent="0.25">
      <c r="A114" t="s">
        <v>27</v>
      </c>
      <c r="B114" t="str">
        <f t="shared" ref="B114" si="147">IF($G112="","Hide","Show")</f>
        <v>Hide</v>
      </c>
    </row>
    <row r="115" spans="1:18" ht="17.25" hidden="1" x14ac:dyDescent="0.3">
      <c r="A115" t="s">
        <v>27</v>
      </c>
      <c r="B115" t="str">
        <f t="shared" ref="B115" si="148">IF($G116="","Hide","Show")</f>
        <v>Hide</v>
      </c>
      <c r="C115" t="str">
        <f>"""Ceres4"",""TCP-LIVE"",""14012281"",""1"",""NONDAIRY"""</f>
        <v>"Ceres4","TCP-LIVE","14012281","1","NONDAIRY"</v>
      </c>
      <c r="D115" t="str">
        <f>"NONDAIRY"</f>
        <v>NONDAIRY</v>
      </c>
      <c r="E115" s="9" t="s">
        <v>10</v>
      </c>
      <c r="F115" s="2"/>
      <c r="G115" s="8" t="str">
        <f>"Non-Dairy Food Item"</f>
        <v>Non-Dairy Food Item</v>
      </c>
    </row>
    <row r="116" spans="1:18" hidden="1" x14ac:dyDescent="0.25">
      <c r="A116" t="s">
        <v>27</v>
      </c>
      <c r="B116" t="str">
        <f t="shared" ref="B116" si="149">IF($G116="","Hide","Show")</f>
        <v>Hide</v>
      </c>
      <c r="E116" s="1"/>
      <c r="F116" t="str">
        <f>""</f>
        <v/>
      </c>
      <c r="G116" t="str">
        <f>""</f>
        <v/>
      </c>
      <c r="H116" t="str">
        <f>""</f>
        <v/>
      </c>
      <c r="I116" s="5" t="str">
        <f>""</f>
        <v/>
      </c>
      <c r="J116" s="5" t="str">
        <f>""</f>
        <v/>
      </c>
      <c r="K116" s="5" t="str">
        <f>"0"</f>
        <v>0</v>
      </c>
      <c r="L116">
        <f>IFERROR(IF(K116*J116=0,"0",K116*J116),0)</f>
        <v>0</v>
      </c>
      <c r="M116" s="5" t="str">
        <f>""</f>
        <v/>
      </c>
      <c r="N116" t="e">
        <f>IF(M116*J116=0,"0",M116*J116)</f>
        <v>#VALUE!</v>
      </c>
      <c r="O116" s="5" t="str">
        <f>""</f>
        <v/>
      </c>
      <c r="P116" s="5" t="str">
        <f>""</f>
        <v/>
      </c>
      <c r="Q116" s="5" t="e">
        <f t="shared" ref="Q116" si="150">P116*O116</f>
        <v>#VALUE!</v>
      </c>
      <c r="R116" s="6" t="str">
        <f t="shared" ref="R116" si="151">IFERROR(Q116+N116+L116,"")</f>
        <v/>
      </c>
    </row>
    <row r="117" spans="1:18" hidden="1" x14ac:dyDescent="0.25">
      <c r="A117" t="s">
        <v>27</v>
      </c>
      <c r="B117" t="str">
        <f t="shared" ref="B117" si="152">IF($G116="","Hide","Show")</f>
        <v>Hide</v>
      </c>
      <c r="H117" t="str">
        <f>""</f>
        <v/>
      </c>
    </row>
    <row r="118" spans="1:18" hidden="1" x14ac:dyDescent="0.25">
      <c r="A118" t="s">
        <v>27</v>
      </c>
      <c r="B118" t="str">
        <f t="shared" ref="B118" si="153">IF($G116="","Hide","Show")</f>
        <v>Hide</v>
      </c>
    </row>
    <row r="119" spans="1:18" ht="17.25" hidden="1" x14ac:dyDescent="0.3">
      <c r="A119" t="s">
        <v>27</v>
      </c>
      <c r="B119" t="str">
        <f t="shared" ref="B119" si="154">IF($G120="","Hide","Show")</f>
        <v>Hide</v>
      </c>
      <c r="C119" t="str">
        <f>"""Ceres4"",""TCP-LIVE"",""14012281"",""1"",""NUTRITION"""</f>
        <v>"Ceres4","TCP-LIVE","14012281","1","NUTRITION"</v>
      </c>
      <c r="D119" t="str">
        <f>"NUTRITION"</f>
        <v>NUTRITION</v>
      </c>
      <c r="E119" s="9" t="s">
        <v>10</v>
      </c>
      <c r="F119" s="2"/>
      <c r="G119" s="8" t="str">
        <f>"Nutritional Aid Products"</f>
        <v>Nutritional Aid Products</v>
      </c>
    </row>
    <row r="120" spans="1:18" hidden="1" x14ac:dyDescent="0.25">
      <c r="A120" t="s">
        <v>27</v>
      </c>
      <c r="B120" t="str">
        <f t="shared" ref="B120" si="155">IF($G120="","Hide","Show")</f>
        <v>Hide</v>
      </c>
      <c r="E120" s="1"/>
      <c r="F120" t="str">
        <f>""</f>
        <v/>
      </c>
      <c r="G120" t="str">
        <f>""</f>
        <v/>
      </c>
      <c r="H120" t="str">
        <f>""</f>
        <v/>
      </c>
      <c r="I120" s="5" t="str">
        <f>""</f>
        <v/>
      </c>
      <c r="J120" s="5" t="str">
        <f>""</f>
        <v/>
      </c>
      <c r="K120" s="5" t="str">
        <f>"0"</f>
        <v>0</v>
      </c>
      <c r="L120">
        <f>IFERROR(IF(K120*J120=0,"0",K120*J120),0)</f>
        <v>0</v>
      </c>
      <c r="M120" s="5" t="str">
        <f>""</f>
        <v/>
      </c>
      <c r="N120" t="e">
        <f>IF(M120*J120=0,"0",M120*J120)</f>
        <v>#VALUE!</v>
      </c>
      <c r="O120" s="5" t="str">
        <f>""</f>
        <v/>
      </c>
      <c r="P120" s="5" t="str">
        <f>""</f>
        <v/>
      </c>
      <c r="Q120" s="5" t="e">
        <f t="shared" ref="Q120" si="156">P120*O120</f>
        <v>#VALUE!</v>
      </c>
      <c r="R120" s="6" t="str">
        <f t="shared" ref="R120" si="157">IFERROR(Q120+N120+L120,"")</f>
        <v/>
      </c>
    </row>
    <row r="121" spans="1:18" hidden="1" x14ac:dyDescent="0.25">
      <c r="A121" t="s">
        <v>27</v>
      </c>
      <c r="B121" t="str">
        <f t="shared" ref="B121" si="158">IF($G120="","Hide","Show")</f>
        <v>Hide</v>
      </c>
      <c r="H121" t="str">
        <f>""</f>
        <v/>
      </c>
    </row>
    <row r="122" spans="1:18" hidden="1" x14ac:dyDescent="0.25">
      <c r="A122" t="s">
        <v>27</v>
      </c>
      <c r="B122" t="str">
        <f t="shared" ref="B122" si="159">IF($G120="","Hide","Show")</f>
        <v>Hide</v>
      </c>
    </row>
    <row r="123" spans="1:18" ht="17.25" hidden="1" x14ac:dyDescent="0.3">
      <c r="A123" t="s">
        <v>27</v>
      </c>
      <c r="B123" t="str">
        <f t="shared" ref="B123" si="160">IF($G124="","Hide","Show")</f>
        <v>Hide</v>
      </c>
      <c r="C123" t="str">
        <f>"""Ceres4"",""TCP-LIVE"",""14012281"",""1"",""OTC"""</f>
        <v>"Ceres4","TCP-LIVE","14012281","1","OTC"</v>
      </c>
      <c r="D123" t="str">
        <f>"OTC"</f>
        <v>OTC</v>
      </c>
      <c r="E123" s="9" t="s">
        <v>10</v>
      </c>
      <c r="F123" s="2"/>
      <c r="G123" s="8" t="str">
        <f>"OTC Pharmaceuticals"</f>
        <v>OTC Pharmaceuticals</v>
      </c>
    </row>
    <row r="124" spans="1:18" hidden="1" x14ac:dyDescent="0.25">
      <c r="A124" t="s">
        <v>27</v>
      </c>
      <c r="B124" t="str">
        <f t="shared" ref="B124" si="161">IF($G124="","Hide","Show")</f>
        <v>Hide</v>
      </c>
      <c r="E124" s="1"/>
      <c r="F124" t="str">
        <f>""</f>
        <v/>
      </c>
      <c r="G124" t="str">
        <f>""</f>
        <v/>
      </c>
      <c r="H124" t="str">
        <f>""</f>
        <v/>
      </c>
      <c r="I124" s="5" t="str">
        <f>""</f>
        <v/>
      </c>
      <c r="J124" s="5" t="str">
        <f>""</f>
        <v/>
      </c>
      <c r="K124" s="5" t="str">
        <f>"0"</f>
        <v>0</v>
      </c>
      <c r="L124">
        <f>IFERROR(IF(K124*J124=0,"0",K124*J124),0)</f>
        <v>0</v>
      </c>
      <c r="M124" s="5" t="str">
        <f>""</f>
        <v/>
      </c>
      <c r="N124" t="e">
        <f>IF(M124*J124=0,"0",M124*J124)</f>
        <v>#VALUE!</v>
      </c>
      <c r="O124" s="5" t="str">
        <f>""</f>
        <v/>
      </c>
      <c r="P124" s="5" t="str">
        <f>""</f>
        <v/>
      </c>
      <c r="Q124" s="5" t="e">
        <f t="shared" ref="Q124" si="162">P124*O124</f>
        <v>#VALUE!</v>
      </c>
      <c r="R124" s="6" t="str">
        <f t="shared" ref="R124" si="163">IFERROR(Q124+N124+L124,"")</f>
        <v/>
      </c>
    </row>
    <row r="125" spans="1:18" hidden="1" x14ac:dyDescent="0.25">
      <c r="A125" t="s">
        <v>27</v>
      </c>
      <c r="B125" t="str">
        <f t="shared" ref="B125" si="164">IF($G124="","Hide","Show")</f>
        <v>Hide</v>
      </c>
      <c r="H125" t="str">
        <f>""</f>
        <v/>
      </c>
    </row>
    <row r="126" spans="1:18" hidden="1" x14ac:dyDescent="0.25">
      <c r="A126" t="s">
        <v>27</v>
      </c>
      <c r="B126" t="str">
        <f t="shared" ref="B126" si="165">IF($G124="","Hide","Show")</f>
        <v>Hide</v>
      </c>
    </row>
    <row r="127" spans="1:18" ht="17.25" x14ac:dyDescent="0.3">
      <c r="A127" t="s">
        <v>27</v>
      </c>
      <c r="B127" t="str">
        <f t="shared" ref="B127" si="166">IF($G128="","Hide","Show")</f>
        <v>Show</v>
      </c>
      <c r="C127" t="str">
        <f>"""Ceres4"",""TCP-LIVE"",""14012281"",""1"",""PASTA"""</f>
        <v>"Ceres4","TCP-LIVE","14012281","1","PASTA"</v>
      </c>
      <c r="D127" t="str">
        <f>"PASTA"</f>
        <v>PASTA</v>
      </c>
      <c r="E127" s="9" t="s">
        <v>10</v>
      </c>
      <c r="F127" s="2"/>
      <c r="G127" s="8" t="str">
        <f>"Pasta Products"</f>
        <v>Pasta Products</v>
      </c>
    </row>
    <row r="128" spans="1:18" x14ac:dyDescent="0.25">
      <c r="A128" t="s">
        <v>27</v>
      </c>
      <c r="B128" t="str">
        <f t="shared" ref="B128" si="167">IF($G128="","Hide","Show")</f>
        <v>Show</v>
      </c>
      <c r="E128" s="1"/>
      <c r="F128" t="str">
        <f>"""Ceres4"",""TCP-LIVE"",""27"",""1"",""P650000"""</f>
        <v>"Ceres4","TCP-LIVE","27","1","P650000"</v>
      </c>
      <c r="G128" t="str">
        <f>"P650000"</f>
        <v>P650000</v>
      </c>
      <c r="H128" t="str">
        <f>"Pasta-Pasta Macaroni &amp; Cheese Mix"</f>
        <v>Pasta-Pasta Macaroni &amp; Cheese Mix</v>
      </c>
      <c r="I128" s="5" t="str">
        <f>"CS"</f>
        <v>CS</v>
      </c>
      <c r="J128" s="5">
        <v>14</v>
      </c>
      <c r="K128" s="5">
        <v>0</v>
      </c>
      <c r="L128" t="str">
        <f>IFERROR(IF(K128*J128=0,"0",K128*J128),0)</f>
        <v>0</v>
      </c>
      <c r="M128" s="5">
        <v>0</v>
      </c>
      <c r="N128" t="str">
        <f>IF(M128*J128=0,"0",M128*J128)</f>
        <v>0</v>
      </c>
      <c r="O128" s="5">
        <v>1.2</v>
      </c>
      <c r="P128" s="5">
        <v>7.9678899999999997</v>
      </c>
      <c r="Q128" s="5">
        <f t="shared" ref="Q128" si="168">P128*O128</f>
        <v>9.5614679999999996</v>
      </c>
      <c r="R128" s="6">
        <f t="shared" ref="R128" si="169">IFERROR(Q128+N128+L128,"")</f>
        <v>9.5614679999999996</v>
      </c>
    </row>
    <row r="129" spans="1:18" x14ac:dyDescent="0.25">
      <c r="A129" t="s">
        <v>27</v>
      </c>
      <c r="B129" t="str">
        <f t="shared" ref="B129" si="170">IF($G128="","Hide","Show")</f>
        <v>Show</v>
      </c>
      <c r="H129" t="str">
        <f>"24-7 oz"</f>
        <v>24-7 oz</v>
      </c>
    </row>
    <row r="130" spans="1:18" x14ac:dyDescent="0.25">
      <c r="A130" t="s">
        <v>27</v>
      </c>
      <c r="B130" t="str">
        <f t="shared" ref="B130" si="171">IF($G128="","Hide","Show")</f>
        <v>Show</v>
      </c>
    </row>
    <row r="131" spans="1:18" ht="17.25" hidden="1" x14ac:dyDescent="0.3">
      <c r="A131" t="s">
        <v>27</v>
      </c>
      <c r="B131" t="str">
        <f t="shared" ref="B131" si="172">IF($G132="","Hide","Show")</f>
        <v>Hide</v>
      </c>
      <c r="C131" t="str">
        <f>"""Ceres4"",""TCP-LIVE"",""14012281"",""1"",""PASTRY"""</f>
        <v>"Ceres4","TCP-LIVE","14012281","1","PASTRY"</v>
      </c>
      <c r="D131" t="str">
        <f>"PASTRY"</f>
        <v>PASTRY</v>
      </c>
      <c r="E131" s="9" t="s">
        <v>10</v>
      </c>
      <c r="F131" s="2"/>
      <c r="G131" s="8" t="str">
        <f>"Pastry Products"</f>
        <v>Pastry Products</v>
      </c>
    </row>
    <row r="132" spans="1:18" hidden="1" x14ac:dyDescent="0.25">
      <c r="A132" t="s">
        <v>27</v>
      </c>
      <c r="B132" t="str">
        <f t="shared" ref="B132" si="173">IF($G132="","Hide","Show")</f>
        <v>Hide</v>
      </c>
      <c r="E132" s="1"/>
      <c r="F132" t="str">
        <f>""</f>
        <v/>
      </c>
      <c r="G132" t="str">
        <f>""</f>
        <v/>
      </c>
      <c r="H132" t="str">
        <f>""</f>
        <v/>
      </c>
      <c r="I132" s="5" t="str">
        <f>""</f>
        <v/>
      </c>
      <c r="J132" s="5" t="str">
        <f>""</f>
        <v/>
      </c>
      <c r="K132" s="5" t="str">
        <f>"0"</f>
        <v>0</v>
      </c>
      <c r="L132">
        <f>IFERROR(IF(K132*J132=0,"0",K132*J132),0)</f>
        <v>0</v>
      </c>
      <c r="M132" s="5" t="str">
        <f>""</f>
        <v/>
      </c>
      <c r="N132" t="e">
        <f>IF(M132*J132=0,"0",M132*J132)</f>
        <v>#VALUE!</v>
      </c>
      <c r="O132" s="5" t="str">
        <f>""</f>
        <v/>
      </c>
      <c r="P132" s="5" t="str">
        <f>""</f>
        <v/>
      </c>
      <c r="Q132" s="5" t="e">
        <f t="shared" ref="Q132" si="174">P132*O132</f>
        <v>#VALUE!</v>
      </c>
      <c r="R132" s="6" t="str">
        <f t="shared" ref="R132" si="175">IFERROR(Q132+N132+L132,"")</f>
        <v/>
      </c>
    </row>
    <row r="133" spans="1:18" hidden="1" x14ac:dyDescent="0.25">
      <c r="A133" t="s">
        <v>27</v>
      </c>
      <c r="B133" t="str">
        <f t="shared" ref="B133" si="176">IF($G132="","Hide","Show")</f>
        <v>Hide</v>
      </c>
      <c r="H133" t="str">
        <f>""</f>
        <v/>
      </c>
    </row>
    <row r="134" spans="1:18" hidden="1" x14ac:dyDescent="0.25">
      <c r="A134" t="s">
        <v>27</v>
      </c>
      <c r="B134" t="str">
        <f t="shared" ref="B134" si="177">IF($G132="","Hide","Show")</f>
        <v>Hide</v>
      </c>
    </row>
    <row r="135" spans="1:18" ht="17.25" hidden="1" x14ac:dyDescent="0.3">
      <c r="A135" t="s">
        <v>27</v>
      </c>
      <c r="B135" t="str">
        <f t="shared" ref="B135" si="178">IF($G136="","Hide","Show")</f>
        <v>Hide</v>
      </c>
      <c r="C135" t="str">
        <f>"""Ceres4"",""TCP-LIVE"",""14012281"",""1"",""PER PAP"""</f>
        <v>"Ceres4","TCP-LIVE","14012281","1","PER PAP"</v>
      </c>
      <c r="D135" t="str">
        <f>"PER PAP"</f>
        <v>PER PAP</v>
      </c>
      <c r="E135" s="9" t="s">
        <v>10</v>
      </c>
      <c r="F135" s="2"/>
      <c r="G135" s="8" t="str">
        <f>"Personal Paper Products"</f>
        <v>Personal Paper Products</v>
      </c>
    </row>
    <row r="136" spans="1:18" hidden="1" x14ac:dyDescent="0.25">
      <c r="A136" t="s">
        <v>27</v>
      </c>
      <c r="B136" t="str">
        <f t="shared" ref="B136" si="179">IF($G136="","Hide","Show")</f>
        <v>Hide</v>
      </c>
      <c r="E136" s="1"/>
      <c r="F136" t="str">
        <f>""</f>
        <v/>
      </c>
      <c r="G136" t="str">
        <f>""</f>
        <v/>
      </c>
      <c r="H136" t="str">
        <f>""</f>
        <v/>
      </c>
      <c r="I136" s="5" t="str">
        <f>""</f>
        <v/>
      </c>
      <c r="J136" s="5" t="str">
        <f>""</f>
        <v/>
      </c>
      <c r="K136" s="5" t="str">
        <f>"0"</f>
        <v>0</v>
      </c>
      <c r="L136">
        <f>IFERROR(IF(K136*J136=0,"0",K136*J136),0)</f>
        <v>0</v>
      </c>
      <c r="M136" s="5" t="str">
        <f>""</f>
        <v/>
      </c>
      <c r="N136" t="e">
        <f>IF(M136*J136=0,"0",M136*J136)</f>
        <v>#VALUE!</v>
      </c>
      <c r="O136" s="5" t="str">
        <f>""</f>
        <v/>
      </c>
      <c r="P136" s="5" t="str">
        <f>""</f>
        <v/>
      </c>
      <c r="Q136" s="5" t="e">
        <f t="shared" ref="Q136" si="180">P136*O136</f>
        <v>#VALUE!</v>
      </c>
      <c r="R136" s="6" t="str">
        <f t="shared" ref="R136" si="181">IFERROR(Q136+N136+L136,"")</f>
        <v/>
      </c>
    </row>
    <row r="137" spans="1:18" hidden="1" x14ac:dyDescent="0.25">
      <c r="A137" t="s">
        <v>27</v>
      </c>
      <c r="B137" t="str">
        <f t="shared" ref="B137" si="182">IF($G136="","Hide","Show")</f>
        <v>Hide</v>
      </c>
      <c r="H137" t="str">
        <f>""</f>
        <v/>
      </c>
    </row>
    <row r="138" spans="1:18" hidden="1" x14ac:dyDescent="0.25">
      <c r="A138" t="s">
        <v>27</v>
      </c>
      <c r="B138" t="str">
        <f t="shared" ref="B138" si="183">IF($G136="","Hide","Show")</f>
        <v>Hide</v>
      </c>
    </row>
    <row r="139" spans="1:18" ht="17.25" x14ac:dyDescent="0.3">
      <c r="A139" t="s">
        <v>27</v>
      </c>
      <c r="B139" t="str">
        <f t="shared" ref="B139" si="184">IF($G140="","Hide","Show")</f>
        <v>Show</v>
      </c>
      <c r="C139" t="str">
        <f>"""Ceres4"",""TCP-LIVE"",""14012281"",""1"",""PERSONAL"""</f>
        <v>"Ceres4","TCP-LIVE","14012281","1","PERSONAL"</v>
      </c>
      <c r="D139" t="str">
        <f>"PERSONAL"</f>
        <v>PERSONAL</v>
      </c>
      <c r="E139" s="9" t="s">
        <v>10</v>
      </c>
      <c r="F139" s="2"/>
      <c r="G139" s="8" t="str">
        <f>"Personal Care Products"</f>
        <v>Personal Care Products</v>
      </c>
    </row>
    <row r="140" spans="1:18" x14ac:dyDescent="0.25">
      <c r="A140" t="s">
        <v>27</v>
      </c>
      <c r="B140" t="str">
        <f t="shared" ref="B140" si="185">IF($G140="","Hide","Show")</f>
        <v>Show</v>
      </c>
      <c r="E140" s="1"/>
      <c r="F140" t="str">
        <f>"""Ceres4"",""TCP-LIVE"",""27"",""1"",""P997001"""</f>
        <v>"Ceres4","TCP-LIVE","27","1","P997001"</v>
      </c>
      <c r="G140" t="str">
        <f>"P997001"</f>
        <v>P997001</v>
      </c>
      <c r="H140" t="str">
        <f>"Personal-Health Medium Diapers"</f>
        <v>Personal-Health Medium Diapers</v>
      </c>
      <c r="I140" s="5" t="str">
        <f>"CS"</f>
        <v>CS</v>
      </c>
      <c r="J140" s="5">
        <v>9</v>
      </c>
      <c r="K140" s="5">
        <v>0</v>
      </c>
      <c r="L140" t="str">
        <f>IFERROR(IF(K140*J140=0,"0",K140*J140),0)</f>
        <v>0</v>
      </c>
      <c r="M140" s="5">
        <v>0</v>
      </c>
      <c r="N140" t="str">
        <f>IF(M140*J140=0,"0",M140*J140)</f>
        <v>0</v>
      </c>
      <c r="O140" s="5">
        <v>1.1499999999999999</v>
      </c>
      <c r="P140" s="5">
        <v>28</v>
      </c>
      <c r="Q140" s="5">
        <f t="shared" ref="Q140" si="186">P140*O140</f>
        <v>32.199999999999996</v>
      </c>
      <c r="R140" s="6">
        <f t="shared" ref="R140" si="187">IFERROR(Q140+N140+L140,"")</f>
        <v>32.199999999999996</v>
      </c>
    </row>
    <row r="141" spans="1:18" x14ac:dyDescent="0.25">
      <c r="A141" t="s">
        <v>27</v>
      </c>
      <c r="B141" t="str">
        <f t="shared" ref="B141" si="188">IF($G140="","Hide","Show")</f>
        <v>Show</v>
      </c>
      <c r="H141" t="str">
        <f>"4-50ct"</f>
        <v>4-50ct</v>
      </c>
    </row>
    <row r="142" spans="1:18" x14ac:dyDescent="0.25">
      <c r="A142" t="s">
        <v>27</v>
      </c>
      <c r="B142" t="str">
        <f t="shared" ref="B142" si="189">IF($G140="","Hide","Show")</f>
        <v>Show</v>
      </c>
    </row>
    <row r="143" spans="1:18" ht="17.25" hidden="1" x14ac:dyDescent="0.3">
      <c r="A143" t="s">
        <v>27</v>
      </c>
      <c r="B143" t="str">
        <f t="shared" ref="B143" si="190">IF($G144="","Hide","Show")</f>
        <v>Hide</v>
      </c>
      <c r="C143" t="str">
        <f>"""Ceres4"",""TCP-LIVE"",""14012281"",""1"",""PET"""</f>
        <v>"Ceres4","TCP-LIVE","14012281","1","PET"</v>
      </c>
      <c r="D143" t="str">
        <f>"PET"</f>
        <v>PET</v>
      </c>
      <c r="E143" s="9" t="s">
        <v>10</v>
      </c>
      <c r="F143" s="2"/>
      <c r="G143" s="8" t="str">
        <f>"Pet Foods"</f>
        <v>Pet Foods</v>
      </c>
    </row>
    <row r="144" spans="1:18" hidden="1" x14ac:dyDescent="0.25">
      <c r="A144" t="s">
        <v>27</v>
      </c>
      <c r="B144" t="str">
        <f t="shared" ref="B144" si="191">IF($G144="","Hide","Show")</f>
        <v>Hide</v>
      </c>
      <c r="E144" s="1"/>
      <c r="F144" t="str">
        <f>""</f>
        <v/>
      </c>
      <c r="G144" t="str">
        <f>""</f>
        <v/>
      </c>
      <c r="H144" t="str">
        <f>""</f>
        <v/>
      </c>
      <c r="I144" s="5" t="str">
        <f>""</f>
        <v/>
      </c>
      <c r="J144" s="5" t="str">
        <f>""</f>
        <v/>
      </c>
      <c r="K144" s="5" t="str">
        <f>"0"</f>
        <v>0</v>
      </c>
      <c r="L144">
        <f>IFERROR(IF(K144*J144=0,"0",K144*J144),0)</f>
        <v>0</v>
      </c>
      <c r="M144" s="5" t="str">
        <f>""</f>
        <v/>
      </c>
      <c r="N144" t="e">
        <f>IF(M144*J144=0,"0",M144*J144)</f>
        <v>#VALUE!</v>
      </c>
      <c r="O144" s="5" t="str">
        <f>""</f>
        <v/>
      </c>
      <c r="P144" s="5" t="str">
        <f>""</f>
        <v/>
      </c>
      <c r="Q144" s="5" t="e">
        <f t="shared" ref="Q144" si="192">P144*O144</f>
        <v>#VALUE!</v>
      </c>
      <c r="R144" s="6" t="str">
        <f t="shared" ref="R144" si="193">IFERROR(Q144+N144+L144,"")</f>
        <v/>
      </c>
    </row>
    <row r="145" spans="1:18" hidden="1" x14ac:dyDescent="0.25">
      <c r="A145" t="s">
        <v>27</v>
      </c>
      <c r="B145" t="str">
        <f t="shared" ref="B145" si="194">IF($G144="","Hide","Show")</f>
        <v>Hide</v>
      </c>
      <c r="H145" t="str">
        <f>""</f>
        <v/>
      </c>
    </row>
    <row r="146" spans="1:18" hidden="1" x14ac:dyDescent="0.25">
      <c r="A146" t="s">
        <v>27</v>
      </c>
      <c r="B146" t="str">
        <f t="shared" ref="B146" si="195">IF($G144="","Hide","Show")</f>
        <v>Hide</v>
      </c>
    </row>
    <row r="147" spans="1:18" ht="17.25" hidden="1" x14ac:dyDescent="0.3">
      <c r="A147" t="s">
        <v>27</v>
      </c>
      <c r="B147" t="str">
        <f t="shared" ref="B147" si="196">IF($G148="","Hide","Show")</f>
        <v>Hide</v>
      </c>
      <c r="C147" t="str">
        <f>"""Ceres4"",""TCP-LIVE"",""14012281"",""1"",""PRODUCE"""</f>
        <v>"Ceres4","TCP-LIVE","14012281","1","PRODUCE"</v>
      </c>
      <c r="D147" t="str">
        <f>"PRODUCE"</f>
        <v>PRODUCE</v>
      </c>
      <c r="E147" s="9" t="s">
        <v>10</v>
      </c>
      <c r="F147" s="2"/>
      <c r="G147" s="8" t="str">
        <f>"Produce - Fresh"</f>
        <v>Produce - Fresh</v>
      </c>
    </row>
    <row r="148" spans="1:18" hidden="1" x14ac:dyDescent="0.25">
      <c r="A148" t="s">
        <v>27</v>
      </c>
      <c r="B148" t="str">
        <f t="shared" ref="B148" si="197">IF($G148="","Hide","Show")</f>
        <v>Hide</v>
      </c>
      <c r="E148" s="1"/>
      <c r="F148" t="str">
        <f>""</f>
        <v/>
      </c>
      <c r="G148" t="str">
        <f>""</f>
        <v/>
      </c>
      <c r="H148" t="str">
        <f>""</f>
        <v/>
      </c>
      <c r="I148" s="5" t="str">
        <f>""</f>
        <v/>
      </c>
      <c r="J148" s="5" t="str">
        <f>""</f>
        <v/>
      </c>
      <c r="K148" s="5" t="str">
        <f>"0"</f>
        <v>0</v>
      </c>
      <c r="L148">
        <f>IFERROR(IF(K148*J148=0,"0",K148*J148),0)</f>
        <v>0</v>
      </c>
      <c r="M148" s="5" t="str">
        <f>""</f>
        <v/>
      </c>
      <c r="N148" t="e">
        <f>IF(M148*J148=0,"0",M148*J148)</f>
        <v>#VALUE!</v>
      </c>
      <c r="O148" s="5" t="str">
        <f>""</f>
        <v/>
      </c>
      <c r="P148" s="5" t="str">
        <f>""</f>
        <v/>
      </c>
      <c r="Q148" s="5" t="e">
        <f t="shared" ref="Q148" si="198">P148*O148</f>
        <v>#VALUE!</v>
      </c>
      <c r="R148" s="6" t="str">
        <f t="shared" ref="R148" si="199">IFERROR(Q148+N148+L148,"")</f>
        <v/>
      </c>
    </row>
    <row r="149" spans="1:18" hidden="1" x14ac:dyDescent="0.25">
      <c r="A149" t="s">
        <v>27</v>
      </c>
      <c r="B149" t="str">
        <f t="shared" ref="B149" si="200">IF($G148="","Hide","Show")</f>
        <v>Hide</v>
      </c>
      <c r="H149" t="str">
        <f>""</f>
        <v/>
      </c>
    </row>
    <row r="150" spans="1:18" hidden="1" x14ac:dyDescent="0.25">
      <c r="A150" t="s">
        <v>27</v>
      </c>
      <c r="B150" t="str">
        <f t="shared" ref="B150" si="201">IF($G148="","Hide","Show")</f>
        <v>Hide</v>
      </c>
    </row>
    <row r="151" spans="1:18" ht="17.25" x14ac:dyDescent="0.3">
      <c r="A151" t="s">
        <v>27</v>
      </c>
      <c r="B151" t="str">
        <f t="shared" ref="B151" si="202">IF($G152="","Hide","Show")</f>
        <v>Show</v>
      </c>
      <c r="C151" t="str">
        <f>"""Ceres4"",""TCP-LIVE"",""14012281"",""1"",""PRO-MEAT"""</f>
        <v>"Ceres4","TCP-LIVE","14012281","1","PRO-MEAT"</v>
      </c>
      <c r="D151" t="str">
        <f>"PRO-MEAT"</f>
        <v>PRO-MEAT</v>
      </c>
      <c r="E151" s="9" t="s">
        <v>10</v>
      </c>
      <c r="F151" s="2"/>
      <c r="G151" s="8" t="str">
        <f>"Protein - Meat Products"</f>
        <v>Protein - Meat Products</v>
      </c>
    </row>
    <row r="152" spans="1:18" x14ac:dyDescent="0.25">
      <c r="A152" t="s">
        <v>27</v>
      </c>
      <c r="B152" t="str">
        <f t="shared" ref="B152:B190" si="203">IF($G152="","Hide","Show")</f>
        <v>Show</v>
      </c>
      <c r="E152" s="1"/>
      <c r="F152" t="str">
        <f>"""Ceres4"",""TCP-LIVE"",""27"",""1"",""P400003"""</f>
        <v>"Ceres4","TCP-LIVE","27","1","P400003"</v>
      </c>
      <c r="G152" t="str">
        <f>"P400003"</f>
        <v>P400003</v>
      </c>
      <c r="H152" t="str">
        <f>"Protein - Ground Beef"</f>
        <v>Protein - Ground Beef</v>
      </c>
      <c r="I152" s="5" t="str">
        <f>"EA"</f>
        <v>EA</v>
      </c>
      <c r="J152" s="5">
        <v>5</v>
      </c>
      <c r="K152" s="5">
        <v>0</v>
      </c>
      <c r="L152" t="str">
        <f>IFERROR(IF(K152*J152=0,"0",K152*J152),0)</f>
        <v>0</v>
      </c>
      <c r="M152" s="5">
        <v>0</v>
      </c>
      <c r="N152" t="str">
        <f>IF(M152*J152=0,"0",M152*J152)</f>
        <v>0</v>
      </c>
      <c r="O152" s="5">
        <v>1</v>
      </c>
      <c r="P152" s="5">
        <v>19.893329999999999</v>
      </c>
      <c r="Q152" s="5">
        <f t="shared" ref="Q152" si="204">P152*O152</f>
        <v>19.893329999999999</v>
      </c>
      <c r="R152" s="6">
        <f t="shared" ref="R152" si="205">IFERROR(Q152+N152+L152,"")</f>
        <v>19.893329999999999</v>
      </c>
    </row>
    <row r="153" spans="1:18" x14ac:dyDescent="0.25">
      <c r="A153" t="s">
        <v>27</v>
      </c>
      <c r="B153" t="str">
        <f t="shared" ref="B153" si="206">IF($G152="","Hide","Show")</f>
        <v>Show</v>
      </c>
      <c r="H153" t="str">
        <f>"1-5 lb "</f>
        <v xml:space="preserve">1-5 lb </v>
      </c>
    </row>
    <row r="154" spans="1:18" x14ac:dyDescent="0.25">
      <c r="A154" t="s">
        <v>27</v>
      </c>
      <c r="B154" t="str">
        <f t="shared" si="203"/>
        <v>Show</v>
      </c>
      <c r="E154" s="1"/>
      <c r="F154" t="str">
        <f>"""Ceres4"",""TCP-LIVE"",""27"",""1"",""P400014"""</f>
        <v>"Ceres4","TCP-LIVE","27","1","P400014"</v>
      </c>
      <c r="G154" t="str">
        <f>"P400014"</f>
        <v>P400014</v>
      </c>
      <c r="H154" t="str">
        <f>"Protein - Beef Patties"</f>
        <v>Protein - Beef Patties</v>
      </c>
      <c r="I154" s="5" t="str">
        <f>"BOX"</f>
        <v>BOX</v>
      </c>
      <c r="J154" s="5">
        <v>10</v>
      </c>
      <c r="K154" s="5">
        <v>0</v>
      </c>
      <c r="L154" t="str">
        <f>IFERROR(IF(K154*J154=0,"0",K154*J154),0)</f>
        <v>0</v>
      </c>
      <c r="M154" s="5">
        <v>0</v>
      </c>
      <c r="N154" t="str">
        <f>IF(M154*J154=0,"0",M154*J154)</f>
        <v>0</v>
      </c>
      <c r="O154" s="5">
        <v>1.1000000000000001</v>
      </c>
      <c r="P154" s="5">
        <v>33.51</v>
      </c>
      <c r="Q154" s="5">
        <f t="shared" ref="Q154" si="207">P154*O154</f>
        <v>36.861000000000004</v>
      </c>
      <c r="R154" s="6">
        <f t="shared" ref="R154" si="208">IFERROR(Q154+N154+L154,"")</f>
        <v>36.861000000000004</v>
      </c>
    </row>
    <row r="155" spans="1:18" x14ac:dyDescent="0.25">
      <c r="A155" t="s">
        <v>27</v>
      </c>
      <c r="B155" t="str">
        <f t="shared" ref="B155" si="209">IF($G154="","Hide","Show")</f>
        <v>Show</v>
      </c>
      <c r="H155" t="str">
        <f>"20- 8 oz"</f>
        <v>20- 8 oz</v>
      </c>
    </row>
    <row r="156" spans="1:18" x14ac:dyDescent="0.25">
      <c r="A156" t="s">
        <v>27</v>
      </c>
      <c r="B156" t="str">
        <f t="shared" si="203"/>
        <v>Show</v>
      </c>
      <c r="E156" s="1"/>
      <c r="F156" t="str">
        <f>"""Ceres4"",""TCP-LIVE"",""27"",""1"",""P400018"""</f>
        <v>"Ceres4","TCP-LIVE","27","1","P400018"</v>
      </c>
      <c r="G156" t="str">
        <f>"P400018"</f>
        <v>P400018</v>
      </c>
      <c r="H156" t="str">
        <f>"Protein -  Beef Patties Cooked"</f>
        <v>Protein -  Beef Patties Cooked</v>
      </c>
      <c r="I156" s="5" t="str">
        <f>"CS"</f>
        <v>CS</v>
      </c>
      <c r="J156" s="5">
        <v>10</v>
      </c>
      <c r="K156" s="5">
        <v>0</v>
      </c>
      <c r="L156" t="str">
        <f>IFERROR(IF(K156*J156=0,"0",K156*J156),0)</f>
        <v>0</v>
      </c>
      <c r="M156" s="5">
        <v>0</v>
      </c>
      <c r="N156" t="str">
        <f>IF(M156*J156=0,"0",M156*J156)</f>
        <v>0</v>
      </c>
      <c r="O156" s="5">
        <v>1.1000000000000001</v>
      </c>
      <c r="P156" s="5">
        <v>42</v>
      </c>
      <c r="Q156" s="5">
        <f t="shared" ref="Q156" si="210">P156*O156</f>
        <v>46.2</v>
      </c>
      <c r="R156" s="6">
        <f t="shared" ref="R156" si="211">IFERROR(Q156+N156+L156,"")</f>
        <v>46.2</v>
      </c>
    </row>
    <row r="157" spans="1:18" x14ac:dyDescent="0.25">
      <c r="A157" t="s">
        <v>27</v>
      </c>
      <c r="B157" t="str">
        <f t="shared" ref="B157" si="212">IF($G156="","Hide","Show")</f>
        <v>Show</v>
      </c>
      <c r="H157" t="str">
        <f>"53-3 oz"</f>
        <v>53-3 oz</v>
      </c>
    </row>
    <row r="158" spans="1:18" x14ac:dyDescent="0.25">
      <c r="A158" t="s">
        <v>27</v>
      </c>
      <c r="B158" t="str">
        <f t="shared" si="203"/>
        <v>Show</v>
      </c>
      <c r="E158" s="1"/>
      <c r="F158" t="str">
        <f>"""Ceres4"",""TCP-LIVE"",""27"",""1"",""P410002"""</f>
        <v>"Ceres4","TCP-LIVE","27","1","P410002"</v>
      </c>
      <c r="G158" t="str">
        <f>"P410002"</f>
        <v>P410002</v>
      </c>
      <c r="H158" t="str">
        <f>"Protein - Chicken Nuggets"</f>
        <v>Protein - Chicken Nuggets</v>
      </c>
      <c r="I158" s="5" t="str">
        <f>"BAG"</f>
        <v>BAG</v>
      </c>
      <c r="J158" s="5">
        <v>5</v>
      </c>
      <c r="K158" s="5">
        <v>0</v>
      </c>
      <c r="L158" t="str">
        <f>IFERROR(IF(K158*J158=0,"0",K158*J158),0)</f>
        <v>0</v>
      </c>
      <c r="M158" s="5">
        <v>0</v>
      </c>
      <c r="N158" t="str">
        <f>IF(M158*J158=0,"0",M158*J158)</f>
        <v>0</v>
      </c>
      <c r="O158" s="5">
        <v>1.05</v>
      </c>
      <c r="P158" s="5">
        <v>11.545</v>
      </c>
      <c r="Q158" s="5">
        <f t="shared" ref="Q158" si="213">P158*O158</f>
        <v>12.122250000000001</v>
      </c>
      <c r="R158" s="6">
        <f t="shared" ref="R158" si="214">IFERROR(Q158+N158+L158,"")</f>
        <v>12.122250000000001</v>
      </c>
    </row>
    <row r="159" spans="1:18" x14ac:dyDescent="0.25">
      <c r="A159" t="s">
        <v>27</v>
      </c>
      <c r="B159" t="str">
        <f t="shared" ref="B159" si="215">IF($G158="","Hide","Show")</f>
        <v>Show</v>
      </c>
      <c r="H159" t="str">
        <f>"5 lb bag"</f>
        <v>5 lb bag</v>
      </c>
    </row>
    <row r="160" spans="1:18" x14ac:dyDescent="0.25">
      <c r="A160" t="s">
        <v>27</v>
      </c>
      <c r="B160" t="str">
        <f t="shared" si="203"/>
        <v>Show</v>
      </c>
      <c r="E160" s="1"/>
      <c r="F160" t="str">
        <f>"""Ceres4"",""TCP-LIVE"",""27"",""1"",""P420001"""</f>
        <v>"Ceres4","TCP-LIVE","27","1","P420001"</v>
      </c>
      <c r="G160" t="str">
        <f>"P420001"</f>
        <v>P420001</v>
      </c>
      <c r="H160" t="str">
        <f>"Protein-Sausage Links"</f>
        <v>Protein-Sausage Links</v>
      </c>
      <c r="I160" s="5" t="str">
        <f>"EA"</f>
        <v>EA</v>
      </c>
      <c r="J160" s="5">
        <v>1</v>
      </c>
      <c r="K160" s="5">
        <v>0</v>
      </c>
      <c r="L160" t="str">
        <f>IFERROR(IF(K160*J160=0,"0",K160*J160),0)</f>
        <v>0</v>
      </c>
      <c r="M160" s="5">
        <v>0</v>
      </c>
      <c r="N160" t="str">
        <f>IF(M160*J160=0,"0",M160*J160)</f>
        <v>0</v>
      </c>
      <c r="O160" s="5">
        <v>1.1000000000000001</v>
      </c>
      <c r="P160" s="5">
        <v>3.35344</v>
      </c>
      <c r="Q160" s="5">
        <f t="shared" ref="Q160" si="216">P160*O160</f>
        <v>3.6887840000000001</v>
      </c>
      <c r="R160" s="6">
        <f t="shared" ref="R160" si="217">IFERROR(Q160+N160+L160,"")</f>
        <v>3.6887840000000001</v>
      </c>
    </row>
    <row r="161" spans="1:18" x14ac:dyDescent="0.25">
      <c r="A161" t="s">
        <v>27</v>
      </c>
      <c r="B161" t="str">
        <f t="shared" ref="B161" si="218">IF($G160="","Hide","Show")</f>
        <v>Show</v>
      </c>
      <c r="H161" t="str">
        <f>"1-1 lb"</f>
        <v>1-1 lb</v>
      </c>
    </row>
    <row r="162" spans="1:18" x14ac:dyDescent="0.25">
      <c r="A162" t="s">
        <v>27</v>
      </c>
      <c r="B162" t="str">
        <f t="shared" si="203"/>
        <v>Show</v>
      </c>
      <c r="E162" s="1"/>
      <c r="F162" t="str">
        <f>"""Ceres4"",""TCP-LIVE"",""27"",""1"",""P420002"""</f>
        <v>"Ceres4","TCP-LIVE","27","1","P420002"</v>
      </c>
      <c r="G162" t="str">
        <f>"P420002"</f>
        <v>P420002</v>
      </c>
      <c r="H162" t="str">
        <f>"Protein-Pork Sausage Patty"</f>
        <v>Protein-Pork Sausage Patty</v>
      </c>
      <c r="I162" s="5" t="str">
        <f>"EA"</f>
        <v>EA</v>
      </c>
      <c r="J162" s="5">
        <v>1</v>
      </c>
      <c r="K162" s="5">
        <v>0</v>
      </c>
      <c r="L162" t="str">
        <f>IFERROR(IF(K162*J162=0,"0",K162*J162),0)</f>
        <v>0</v>
      </c>
      <c r="M162" s="5">
        <v>0</v>
      </c>
      <c r="N162" t="str">
        <f>IF(M162*J162=0,"0",M162*J162)</f>
        <v>0</v>
      </c>
      <c r="O162" s="5">
        <v>1.1000000000000001</v>
      </c>
      <c r="P162" s="5">
        <v>3.3807100000000001</v>
      </c>
      <c r="Q162" s="5">
        <f t="shared" ref="Q162" si="219">P162*O162</f>
        <v>3.7187810000000003</v>
      </c>
      <c r="R162" s="6">
        <f t="shared" ref="R162" si="220">IFERROR(Q162+N162+L162,"")</f>
        <v>3.7187810000000003</v>
      </c>
    </row>
    <row r="163" spans="1:18" x14ac:dyDescent="0.25">
      <c r="A163" t="s">
        <v>27</v>
      </c>
      <c r="B163" t="str">
        <f t="shared" ref="B163" si="221">IF($G162="","Hide","Show")</f>
        <v>Show</v>
      </c>
      <c r="H163" t="str">
        <f>"1-1 lb"</f>
        <v>1-1 lb</v>
      </c>
    </row>
    <row r="164" spans="1:18" x14ac:dyDescent="0.25">
      <c r="A164" t="s">
        <v>27</v>
      </c>
      <c r="B164" t="str">
        <f t="shared" si="203"/>
        <v>Show</v>
      </c>
      <c r="E164" s="1"/>
      <c r="F164" t="str">
        <f>"""Ceres4"",""TCP-LIVE"",""27"",""1"",""P420016"""</f>
        <v>"Ceres4","TCP-LIVE","27","1","P420016"</v>
      </c>
      <c r="G164" t="str">
        <f>"P420016"</f>
        <v>P420016</v>
      </c>
      <c r="H164" t="str">
        <f>"Protein - Bacon"</f>
        <v>Protein - Bacon</v>
      </c>
      <c r="I164" s="5" t="str">
        <f>"EA"</f>
        <v>EA</v>
      </c>
      <c r="J164" s="5">
        <v>3</v>
      </c>
      <c r="K164" s="5">
        <v>0</v>
      </c>
      <c r="L164" t="str">
        <f>IFERROR(IF(K164*J164=0,"0",K164*J164),0)</f>
        <v>0</v>
      </c>
      <c r="M164" s="5">
        <v>0</v>
      </c>
      <c r="N164" t="str">
        <f>IF(M164*J164=0,"0",M164*J164)</f>
        <v>0</v>
      </c>
      <c r="O164" s="5">
        <v>1.1000000000000001</v>
      </c>
      <c r="P164" s="5">
        <v>13.27455</v>
      </c>
      <c r="Q164" s="5">
        <f t="shared" ref="Q164" si="222">P164*O164</f>
        <v>14.602005</v>
      </c>
      <c r="R164" s="6">
        <f t="shared" ref="R164" si="223">IFERROR(Q164+N164+L164,"")</f>
        <v>14.602005</v>
      </c>
    </row>
    <row r="165" spans="1:18" x14ac:dyDescent="0.25">
      <c r="A165" t="s">
        <v>27</v>
      </c>
      <c r="B165" t="str">
        <f t="shared" ref="B165" si="224">IF($G164="","Hide","Show")</f>
        <v>Show</v>
      </c>
      <c r="H165" t="str">
        <f>"1-3 lb"</f>
        <v>1-3 lb</v>
      </c>
    </row>
    <row r="166" spans="1:18" x14ac:dyDescent="0.25">
      <c r="A166" t="s">
        <v>27</v>
      </c>
      <c r="B166" t="str">
        <f t="shared" si="203"/>
        <v>Show</v>
      </c>
      <c r="E166" s="1"/>
      <c r="F166" t="str">
        <f>"""Ceres4"",""TCP-LIVE"",""27"",""1"",""P429991"""</f>
        <v>"Ceres4","TCP-LIVE","27","1","P429991"</v>
      </c>
      <c r="G166" t="str">
        <f>"P429991"</f>
        <v>P429991</v>
      </c>
      <c r="H166" t="str">
        <f>"Protein - Chicken Wing Bufflo Jumbo 1 and 2 JT"</f>
        <v>Protein - Chicken Wing Bufflo Jumbo 1 and 2 JT</v>
      </c>
      <c r="I166" s="5" t="str">
        <f>"BAG"</f>
        <v>BAG</v>
      </c>
      <c r="J166" s="5">
        <v>5</v>
      </c>
      <c r="K166" s="5">
        <v>0</v>
      </c>
      <c r="L166" t="str">
        <f>IFERROR(IF(K166*J166=0,"0",K166*J166),0)</f>
        <v>0</v>
      </c>
      <c r="M166" s="5">
        <v>0</v>
      </c>
      <c r="N166" t="str">
        <f>IF(M166*J166=0,"0",M166*J166)</f>
        <v>0</v>
      </c>
      <c r="O166" s="5">
        <v>1.1000000000000001</v>
      </c>
      <c r="P166" s="5">
        <v>23.68</v>
      </c>
      <c r="Q166" s="5">
        <f t="shared" ref="Q166" si="225">P166*O166</f>
        <v>26.048000000000002</v>
      </c>
      <c r="R166" s="6">
        <f t="shared" ref="R166" si="226">IFERROR(Q166+N166+L166,"")</f>
        <v>26.048000000000002</v>
      </c>
    </row>
    <row r="167" spans="1:18" x14ac:dyDescent="0.25">
      <c r="A167" t="s">
        <v>27</v>
      </c>
      <c r="B167" t="str">
        <f t="shared" ref="B167" si="227">IF($G166="","Hide","Show")</f>
        <v>Show</v>
      </c>
      <c r="H167" t="str">
        <f>"1 - 5 lb"</f>
        <v>1 - 5 lb</v>
      </c>
    </row>
    <row r="168" spans="1:18" x14ac:dyDescent="0.25">
      <c r="A168" t="s">
        <v>27</v>
      </c>
      <c r="B168" t="str">
        <f t="shared" si="203"/>
        <v>Show</v>
      </c>
      <c r="E168" s="1"/>
      <c r="F168" t="str">
        <f>"""Ceres4"",""TCP-LIVE"",""27"",""1"",""P439986"""</f>
        <v>"Ceres4","TCP-LIVE","27","1","P439986"</v>
      </c>
      <c r="G168" t="str">
        <f>"P439986"</f>
        <v>P439986</v>
      </c>
      <c r="H168" t="str">
        <f>"Protein - Pork Chops"</f>
        <v>Protein - Pork Chops</v>
      </c>
      <c r="I168" s="5" t="str">
        <f>"CS"</f>
        <v>CS</v>
      </c>
      <c r="J168" s="5">
        <v>10</v>
      </c>
      <c r="K168" s="5">
        <v>0</v>
      </c>
      <c r="L168" t="str">
        <f>IFERROR(IF(K168*J168=0,"0",K168*J168),0)</f>
        <v>0</v>
      </c>
      <c r="M168" s="5">
        <v>0</v>
      </c>
      <c r="N168" t="str">
        <f>IF(M168*J168=0,"0",M168*J168)</f>
        <v>0</v>
      </c>
      <c r="O168" s="5">
        <v>1.1000000000000001</v>
      </c>
      <c r="P168" s="5">
        <v>55.4</v>
      </c>
      <c r="Q168" s="5">
        <f t="shared" ref="Q168" si="228">P168*O168</f>
        <v>60.940000000000005</v>
      </c>
      <c r="R168" s="6">
        <f t="shared" ref="R168" si="229">IFERROR(Q168+N168+L168,"")</f>
        <v>60.940000000000005</v>
      </c>
    </row>
    <row r="169" spans="1:18" x14ac:dyDescent="0.25">
      <c r="A169" t="s">
        <v>27</v>
      </c>
      <c r="B169" t="str">
        <f t="shared" ref="B169" si="230">IF($G168="","Hide","Show")</f>
        <v>Show</v>
      </c>
      <c r="H169" t="str">
        <f>"40- 4 oz"</f>
        <v>40- 4 oz</v>
      </c>
    </row>
    <row r="170" spans="1:18" x14ac:dyDescent="0.25">
      <c r="A170" t="s">
        <v>27</v>
      </c>
      <c r="B170" t="str">
        <f t="shared" si="203"/>
        <v>Show</v>
      </c>
      <c r="E170" s="1"/>
      <c r="F170" t="str">
        <f>"""Ceres4"",""TCP-LIVE"",""27"",""1"",""P440004"""</f>
        <v>"Ceres4","TCP-LIVE","27","1","P440004"</v>
      </c>
      <c r="G170" t="str">
        <f>"P440004"</f>
        <v>P440004</v>
      </c>
      <c r="H170" t="str">
        <f>"Protein - Chicken Breast"</f>
        <v>Protein - Chicken Breast</v>
      </c>
      <c r="I170" s="5" t="str">
        <f>"BAG"</f>
        <v>BAG</v>
      </c>
      <c r="J170" s="5">
        <v>40</v>
      </c>
      <c r="K170" s="5">
        <v>0</v>
      </c>
      <c r="L170" t="str">
        <f>IFERROR(IF(K170*J170=0,"0",K170*J170),0)</f>
        <v>0</v>
      </c>
      <c r="M170" s="5">
        <v>0</v>
      </c>
      <c r="N170" t="str">
        <f>IF(M170*J170=0,"0",M170*J170)</f>
        <v>0</v>
      </c>
      <c r="O170" s="5">
        <v>1</v>
      </c>
      <c r="P170" s="5">
        <v>13.56</v>
      </c>
      <c r="Q170" s="5">
        <f t="shared" ref="Q170" si="231">P170*O170</f>
        <v>13.56</v>
      </c>
      <c r="R170" s="6">
        <f t="shared" ref="R170" si="232">IFERROR(Q170+N170+L170,"")</f>
        <v>13.56</v>
      </c>
    </row>
    <row r="171" spans="1:18" x14ac:dyDescent="0.25">
      <c r="A171" t="s">
        <v>27</v>
      </c>
      <c r="B171" t="str">
        <f t="shared" ref="B171" si="233">IF($G170="","Hide","Show")</f>
        <v>Show</v>
      </c>
      <c r="H171" t="str">
        <f>"10 lb bag"</f>
        <v>10 lb bag</v>
      </c>
    </row>
    <row r="172" spans="1:18" x14ac:dyDescent="0.25">
      <c r="A172" t="s">
        <v>27</v>
      </c>
      <c r="B172" t="str">
        <f t="shared" si="203"/>
        <v>Show</v>
      </c>
      <c r="E172" s="1"/>
      <c r="F172" t="str">
        <f>"""Ceres4"",""TCP-LIVE"",""27"",""1"",""P440010"""</f>
        <v>"Ceres4","TCP-LIVE","27","1","P440010"</v>
      </c>
      <c r="G172" t="str">
        <f>"P440010"</f>
        <v>P440010</v>
      </c>
      <c r="H172" t="str">
        <f>"Non-Protein - Chicken In Ginger Soy Sauce Pouches"</f>
        <v>Non-Protein - Chicken In Ginger Soy Sauce Pouches</v>
      </c>
      <c r="I172" s="5" t="str">
        <f>"CS"</f>
        <v>CS</v>
      </c>
      <c r="J172" s="5">
        <v>2</v>
      </c>
      <c r="K172" s="5">
        <v>0</v>
      </c>
      <c r="L172" t="str">
        <f>IFERROR(IF(K172*J172=0,"0",K172*J172),0)</f>
        <v>0</v>
      </c>
      <c r="M172" s="5">
        <v>0</v>
      </c>
      <c r="N172" t="str">
        <f>IF(M172*J172=0,"0",M172*J172)</f>
        <v>0</v>
      </c>
      <c r="O172" s="5">
        <v>1.1000000000000001</v>
      </c>
      <c r="P172" s="5">
        <v>17.28</v>
      </c>
      <c r="Q172" s="5">
        <f t="shared" ref="Q172" si="234">P172*O172</f>
        <v>19.008000000000003</v>
      </c>
      <c r="R172" s="6">
        <f t="shared" ref="R172" si="235">IFERROR(Q172+N172+L172,"")</f>
        <v>19.008000000000003</v>
      </c>
    </row>
    <row r="173" spans="1:18" x14ac:dyDescent="0.25">
      <c r="A173" t="s">
        <v>27</v>
      </c>
      <c r="B173" t="str">
        <f t="shared" ref="B173" si="236">IF($G172="","Hide","Show")</f>
        <v>Show</v>
      </c>
      <c r="H173" t="str">
        <f>"12-2.6 oz"</f>
        <v>12-2.6 oz</v>
      </c>
    </row>
    <row r="174" spans="1:18" x14ac:dyDescent="0.25">
      <c r="A174" t="s">
        <v>27</v>
      </c>
      <c r="B174" t="str">
        <f t="shared" si="203"/>
        <v>Show</v>
      </c>
      <c r="E174" s="1"/>
      <c r="F174" t="str">
        <f>"""Ceres4"",""TCP-LIVE"",""27"",""1"",""P440020"""</f>
        <v>"Ceres4","TCP-LIVE","27","1","P440020"</v>
      </c>
      <c r="G174" t="str">
        <f>"P440020"</f>
        <v>P440020</v>
      </c>
      <c r="H174" t="str">
        <f>"Protein - Corn Dogs"</f>
        <v>Protein - Corn Dogs</v>
      </c>
      <c r="I174" s="5" t="str">
        <f>"BAG"</f>
        <v>BAG</v>
      </c>
      <c r="J174" s="5">
        <v>1</v>
      </c>
      <c r="K174" s="5">
        <v>0</v>
      </c>
      <c r="L174" t="str">
        <f>IFERROR(IF(K174*J174=0,"0",K174*J174),0)</f>
        <v>0</v>
      </c>
      <c r="M174" s="5">
        <v>0</v>
      </c>
      <c r="N174" t="str">
        <f>IF(M174*J174=0,"0",M174*J174)</f>
        <v>0</v>
      </c>
      <c r="O174" s="5">
        <v>1.1000000000000001</v>
      </c>
      <c r="P174" s="5">
        <v>3.7762500000000001</v>
      </c>
      <c r="Q174" s="5">
        <f t="shared" ref="Q174" si="237">P174*O174</f>
        <v>4.1538750000000002</v>
      </c>
      <c r="R174" s="6">
        <f t="shared" ref="R174" si="238">IFERROR(Q174+N174+L174,"")</f>
        <v>4.1538750000000002</v>
      </c>
    </row>
    <row r="175" spans="1:18" x14ac:dyDescent="0.25">
      <c r="A175" t="s">
        <v>27</v>
      </c>
      <c r="B175" t="str">
        <f t="shared" ref="B175" si="239">IF($G174="","Hide","Show")</f>
        <v>Show</v>
      </c>
      <c r="H175" t="str">
        <f>"6 corn dogs   repack item"</f>
        <v>6 corn dogs   repack item</v>
      </c>
    </row>
    <row r="176" spans="1:18" x14ac:dyDescent="0.25">
      <c r="A176" t="s">
        <v>27</v>
      </c>
      <c r="B176" t="str">
        <f t="shared" si="203"/>
        <v>Show</v>
      </c>
      <c r="E176" s="1"/>
      <c r="F176" t="str">
        <f>"""Ceres4"",""TCP-LIVE"",""27"",""1"",""P440030"""</f>
        <v>"Ceres4","TCP-LIVE","27","1","P440030"</v>
      </c>
      <c r="G176" t="str">
        <f>"P440030"</f>
        <v>P440030</v>
      </c>
      <c r="H176" t="str">
        <f>"Protein - Hot Dogs"</f>
        <v>Protein - Hot Dogs</v>
      </c>
      <c r="I176" s="5" t="str">
        <f>"BOX"</f>
        <v>BOX</v>
      </c>
      <c r="J176" s="5">
        <v>10</v>
      </c>
      <c r="K176" s="5">
        <v>0</v>
      </c>
      <c r="L176" t="str">
        <f>IFERROR(IF(K176*J176=0,"0",K176*J176),0)</f>
        <v>0</v>
      </c>
      <c r="M176" s="5">
        <v>0</v>
      </c>
      <c r="N176" t="str">
        <f>IF(M176*J176=0,"0",M176*J176)</f>
        <v>0</v>
      </c>
      <c r="O176" s="5">
        <v>1.1499999999999999</v>
      </c>
      <c r="P176" s="5">
        <v>27.41</v>
      </c>
      <c r="Q176" s="5">
        <f t="shared" ref="Q176" si="240">P176*O176</f>
        <v>31.521499999999996</v>
      </c>
      <c r="R176" s="6">
        <f t="shared" ref="R176" si="241">IFERROR(Q176+N176+L176,"")</f>
        <v>31.521499999999996</v>
      </c>
    </row>
    <row r="177" spans="1:18" x14ac:dyDescent="0.25">
      <c r="A177" t="s">
        <v>27</v>
      </c>
      <c r="B177" t="str">
        <f t="shared" ref="B177" si="242">IF($G176="","Hide","Show")</f>
        <v>Show</v>
      </c>
      <c r="H177" t="str">
        <f>"10 lb bulk"</f>
        <v>10 lb bulk</v>
      </c>
    </row>
    <row r="178" spans="1:18" x14ac:dyDescent="0.25">
      <c r="A178" t="s">
        <v>27</v>
      </c>
      <c r="B178" t="str">
        <f t="shared" si="203"/>
        <v>Show</v>
      </c>
      <c r="E178" s="1"/>
      <c r="F178" t="str">
        <f>"""Ceres4"",""TCP-LIVE"",""27"",""1"",""P449988"""</f>
        <v>"Ceres4","TCP-LIVE","27","1","P449988"</v>
      </c>
      <c r="G178" t="str">
        <f>"P449988"</f>
        <v>P449988</v>
      </c>
      <c r="H178" t="str">
        <f>"Protein - Canned Chicken"</f>
        <v>Protein - Canned Chicken</v>
      </c>
      <c r="I178" s="5" t="str">
        <f>"EA"</f>
        <v>EA</v>
      </c>
      <c r="J178" s="5">
        <v>1</v>
      </c>
      <c r="K178" s="5">
        <v>0</v>
      </c>
      <c r="L178" t="str">
        <f>IFERROR(IF(K178*J178=0,"0",K178*J178),0)</f>
        <v>0</v>
      </c>
      <c r="M178" s="5">
        <v>0</v>
      </c>
      <c r="N178" t="str">
        <f>IF(M178*J178=0,"0",M178*J178)</f>
        <v>0</v>
      </c>
      <c r="O178" s="5">
        <v>1.05</v>
      </c>
      <c r="P178" s="5">
        <v>1.59</v>
      </c>
      <c r="Q178" s="5">
        <f t="shared" ref="Q178" si="243">P178*O178</f>
        <v>1.6695000000000002</v>
      </c>
      <c r="R178" s="6">
        <f t="shared" ref="R178" si="244">IFERROR(Q178+N178+L178,"")</f>
        <v>1.6695000000000002</v>
      </c>
    </row>
    <row r="179" spans="1:18" x14ac:dyDescent="0.25">
      <c r="A179" t="s">
        <v>27</v>
      </c>
      <c r="B179" t="str">
        <f t="shared" ref="B179" si="245">IF($G178="","Hide","Show")</f>
        <v>Show</v>
      </c>
      <c r="H179" t="str">
        <f>"1 - 5 oz can"</f>
        <v>1 - 5 oz can</v>
      </c>
    </row>
    <row r="180" spans="1:18" x14ac:dyDescent="0.25">
      <c r="A180" t="s">
        <v>27</v>
      </c>
      <c r="B180" t="str">
        <f t="shared" si="203"/>
        <v>Show</v>
      </c>
      <c r="E180" s="1"/>
      <c r="F180" t="str">
        <f>"""Ceres4"",""TCP-LIVE"",""27"",""1"",""P460000"""</f>
        <v>"Ceres4","TCP-LIVE","27","1","P460000"</v>
      </c>
      <c r="G180" t="str">
        <f>"P460000"</f>
        <v>P460000</v>
      </c>
      <c r="H180" t="str">
        <f>"Protein - Tuna Chuck White "</f>
        <v xml:space="preserve">Protein - Tuna Chuck White </v>
      </c>
      <c r="I180" s="5" t="str">
        <f>"CS"</f>
        <v>CS</v>
      </c>
      <c r="J180" s="5">
        <v>7</v>
      </c>
      <c r="K180" s="5">
        <v>0</v>
      </c>
      <c r="L180" t="str">
        <f>IFERROR(IF(K180*J180=0,"0",K180*J180),0)</f>
        <v>0</v>
      </c>
      <c r="M180" s="5">
        <v>0</v>
      </c>
      <c r="N180" t="str">
        <f>IF(M180*J180=0,"0",M180*J180)</f>
        <v>0</v>
      </c>
      <c r="O180" s="5">
        <v>1.1000000000000001</v>
      </c>
      <c r="P180" s="5">
        <v>23.616</v>
      </c>
      <c r="Q180" s="5">
        <f t="shared" ref="Q180" si="246">P180*O180</f>
        <v>25.977600000000002</v>
      </c>
      <c r="R180" s="6">
        <f t="shared" ref="R180" si="247">IFERROR(Q180+N180+L180,"")</f>
        <v>25.977600000000002</v>
      </c>
    </row>
    <row r="181" spans="1:18" x14ac:dyDescent="0.25">
      <c r="A181" t="s">
        <v>27</v>
      </c>
      <c r="B181" t="str">
        <f t="shared" ref="B181" si="248">IF($G180="","Hide","Show")</f>
        <v>Show</v>
      </c>
      <c r="H181" t="str">
        <f>"24-5 oz"</f>
        <v>24-5 oz</v>
      </c>
    </row>
    <row r="182" spans="1:18" x14ac:dyDescent="0.25">
      <c r="A182" t="s">
        <v>27</v>
      </c>
      <c r="B182" t="str">
        <f t="shared" si="203"/>
        <v>Show</v>
      </c>
      <c r="E182" s="1"/>
      <c r="F182" t="str">
        <f>"""Ceres4"",""TCP-LIVE"",""27"",""1"",""P480000"""</f>
        <v>"Ceres4","TCP-LIVE","27","1","P480000"</v>
      </c>
      <c r="G182" t="str">
        <f>"P480000"</f>
        <v>P480000</v>
      </c>
      <c r="H182" t="str">
        <f>"Protein - Vienna Sausage"</f>
        <v>Protein - Vienna Sausage</v>
      </c>
      <c r="I182" s="5" t="str">
        <f>"CS"</f>
        <v>CS</v>
      </c>
      <c r="J182" s="5">
        <v>15</v>
      </c>
      <c r="K182" s="5">
        <v>0</v>
      </c>
      <c r="L182" t="str">
        <f>IFERROR(IF(K182*J182=0,"0",K182*J182),0)</f>
        <v>0</v>
      </c>
      <c r="M182" s="5">
        <v>0</v>
      </c>
      <c r="N182" t="str">
        <f>IF(M182*J182=0,"0",M182*J182)</f>
        <v>0</v>
      </c>
      <c r="O182" s="5">
        <v>1.1000000000000001</v>
      </c>
      <c r="P182" s="5">
        <v>18.72</v>
      </c>
      <c r="Q182" s="5">
        <f t="shared" ref="Q182" si="249">P182*O182</f>
        <v>20.591999999999999</v>
      </c>
      <c r="R182" s="6">
        <f t="shared" ref="R182" si="250">IFERROR(Q182+N182+L182,"")</f>
        <v>20.591999999999999</v>
      </c>
    </row>
    <row r="183" spans="1:18" x14ac:dyDescent="0.25">
      <c r="A183" t="s">
        <v>27</v>
      </c>
      <c r="B183" t="str">
        <f t="shared" ref="B183" si="251">IF($G182="","Hide","Show")</f>
        <v>Show</v>
      </c>
      <c r="H183" t="str">
        <f>"48-5 oz"</f>
        <v>48-5 oz</v>
      </c>
    </row>
    <row r="184" spans="1:18" x14ac:dyDescent="0.25">
      <c r="A184" t="s">
        <v>27</v>
      </c>
      <c r="B184" t="str">
        <f t="shared" si="203"/>
        <v>Show</v>
      </c>
      <c r="E184" s="1"/>
      <c r="F184" t="str">
        <f>"""Ceres4"",""TCP-LIVE"",""27"",""1"",""P480007"""</f>
        <v>"Ceres4","TCP-LIVE","27","1","P480007"</v>
      </c>
      <c r="G184" t="str">
        <f>"P480007"</f>
        <v>P480007</v>
      </c>
      <c r="H184" t="str">
        <f>"Protein - Sliced Turkey Breast Sandwich meat"</f>
        <v>Protein - Sliced Turkey Breast Sandwich meat</v>
      </c>
      <c r="I184" s="5" t="str">
        <f>"EA"</f>
        <v>EA</v>
      </c>
      <c r="J184" s="5">
        <v>2</v>
      </c>
      <c r="K184" s="5">
        <v>0</v>
      </c>
      <c r="L184" t="str">
        <f>IFERROR(IF(K184*J184=0,"0",K184*J184),0)</f>
        <v>0</v>
      </c>
      <c r="M184" s="5">
        <v>0</v>
      </c>
      <c r="N184" t="str">
        <f>IF(M184*J184=0,"0",M184*J184)</f>
        <v>0</v>
      </c>
      <c r="O184" s="5">
        <v>1.1000000000000001</v>
      </c>
      <c r="P184" s="5">
        <v>9.4366699999999994</v>
      </c>
      <c r="Q184" s="5">
        <f t="shared" ref="Q184" si="252">P184*O184</f>
        <v>10.380337000000001</v>
      </c>
      <c r="R184" s="6">
        <f t="shared" ref="R184" si="253">IFERROR(Q184+N184+L184,"")</f>
        <v>10.380337000000001</v>
      </c>
    </row>
    <row r="185" spans="1:18" x14ac:dyDescent="0.25">
      <c r="A185" t="s">
        <v>27</v>
      </c>
      <c r="B185" t="str">
        <f t="shared" ref="B185" si="254">IF($G184="","Hide","Show")</f>
        <v>Show</v>
      </c>
      <c r="H185" t="str">
        <f>"1-2 lb "</f>
        <v xml:space="preserve">1-2 lb </v>
      </c>
    </row>
    <row r="186" spans="1:18" x14ac:dyDescent="0.25">
      <c r="A186" t="s">
        <v>27</v>
      </c>
      <c r="B186" t="str">
        <f t="shared" si="203"/>
        <v>Show</v>
      </c>
      <c r="E186" s="1"/>
      <c r="F186" t="str">
        <f>"""Ceres4"",""TCP-LIVE"",""27"",""1"",""P480012"""</f>
        <v>"Ceres4","TCP-LIVE","27","1","P480012"</v>
      </c>
      <c r="G186" t="str">
        <f>"P480012"</f>
        <v>P480012</v>
      </c>
      <c r="H186" t="str">
        <f>"Protein - Vienna Sausage"</f>
        <v>Protein - Vienna Sausage</v>
      </c>
      <c r="I186" s="5" t="str">
        <f>"CS"</f>
        <v>CS</v>
      </c>
      <c r="J186" s="5">
        <v>14</v>
      </c>
      <c r="K186" s="5">
        <v>0</v>
      </c>
      <c r="L186" t="str">
        <f>IFERROR(IF(K186*J186=0,"0",K186*J186),0)</f>
        <v>0</v>
      </c>
      <c r="M186" s="5">
        <v>0</v>
      </c>
      <c r="N186" t="str">
        <f>IF(M186*J186=0,"0",M186*J186)</f>
        <v>0</v>
      </c>
      <c r="O186" s="5">
        <v>1.1000000000000001</v>
      </c>
      <c r="P186" s="5">
        <v>18.72</v>
      </c>
      <c r="Q186" s="5">
        <f t="shared" ref="Q186" si="255">P186*O186</f>
        <v>20.591999999999999</v>
      </c>
      <c r="R186" s="6">
        <f t="shared" ref="R186" si="256">IFERROR(Q186+N186+L186,"")</f>
        <v>20.591999999999999</v>
      </c>
    </row>
    <row r="187" spans="1:18" x14ac:dyDescent="0.25">
      <c r="A187" t="s">
        <v>27</v>
      </c>
      <c r="B187" t="str">
        <f t="shared" ref="B187" si="257">IF($G186="","Hide","Show")</f>
        <v>Show</v>
      </c>
      <c r="H187" t="str">
        <f>"48-4.6 oz"</f>
        <v>48-4.6 oz</v>
      </c>
    </row>
    <row r="188" spans="1:18" x14ac:dyDescent="0.25">
      <c r="A188" t="s">
        <v>27</v>
      </c>
      <c r="B188" t="str">
        <f t="shared" si="203"/>
        <v>Show</v>
      </c>
      <c r="E188" s="1"/>
      <c r="F188" t="str">
        <f>"""Ceres4"",""TCP-LIVE"",""27"",""1"",""P480015"""</f>
        <v>"Ceres4","TCP-LIVE","27","1","P480015"</v>
      </c>
      <c r="G188" t="str">
        <f>"P480015"</f>
        <v>P480015</v>
      </c>
      <c r="H188" t="str">
        <f>"Protein Meat - Hormel Spam"</f>
        <v>Protein Meat - Hormel Spam</v>
      </c>
      <c r="I188" s="5" t="str">
        <f>"EA"</f>
        <v>EA</v>
      </c>
      <c r="J188" s="5">
        <v>1</v>
      </c>
      <c r="K188" s="5">
        <v>0</v>
      </c>
      <c r="L188" t="str">
        <f>IFERROR(IF(K188*J188=0,"0",K188*J188),0)</f>
        <v>0</v>
      </c>
      <c r="M188" s="5">
        <v>0</v>
      </c>
      <c r="N188" t="str">
        <f>IF(M188*J188=0,"0",M188*J188)</f>
        <v>0</v>
      </c>
      <c r="O188" s="5">
        <v>1.06</v>
      </c>
      <c r="P188" s="5">
        <v>1.89</v>
      </c>
      <c r="Q188" s="5">
        <f t="shared" ref="Q188" si="258">P188*O188</f>
        <v>2.0034000000000001</v>
      </c>
      <c r="R188" s="6">
        <f t="shared" ref="R188" si="259">IFERROR(Q188+N188+L188,"")</f>
        <v>2.0034000000000001</v>
      </c>
    </row>
    <row r="189" spans="1:18" x14ac:dyDescent="0.25">
      <c r="A189" t="s">
        <v>27</v>
      </c>
      <c r="B189" t="str">
        <f t="shared" ref="B189" si="260">IF($G188="","Hide","Show")</f>
        <v>Show</v>
      </c>
      <c r="H189" t="str">
        <f>"1-7 oz "</f>
        <v xml:space="preserve">1-7 oz </v>
      </c>
    </row>
    <row r="190" spans="1:18" x14ac:dyDescent="0.25">
      <c r="A190" t="s">
        <v>27</v>
      </c>
      <c r="B190" t="str">
        <f t="shared" si="203"/>
        <v>Show</v>
      </c>
      <c r="E190" s="1"/>
      <c r="F190" t="str">
        <f>"""Ceres4"",""TCP-LIVE"",""27"",""1"",""P490049"""</f>
        <v>"Ceres4","TCP-LIVE","27","1","P490049"</v>
      </c>
      <c r="G190" t="str">
        <f>"P490049"</f>
        <v>P490049</v>
      </c>
      <c r="H190" t="str">
        <f>"Protein - Sausage Italian Rope"</f>
        <v>Protein - Sausage Italian Rope</v>
      </c>
      <c r="I190" s="5" t="str">
        <f>"CS"</f>
        <v>CS</v>
      </c>
      <c r="J190" s="5">
        <v>15</v>
      </c>
      <c r="K190" s="5">
        <v>0</v>
      </c>
      <c r="L190" t="str">
        <f>IFERROR(IF(K190*J190=0,"0",K190*J190),0)</f>
        <v>0</v>
      </c>
      <c r="M190" s="5">
        <v>0</v>
      </c>
      <c r="N190" t="str">
        <f>IF(M190*J190=0,"0",M190*J190)</f>
        <v>0</v>
      </c>
      <c r="O190" s="5">
        <v>1.05</v>
      </c>
      <c r="P190" s="5">
        <v>21.6</v>
      </c>
      <c r="Q190" s="5">
        <f t="shared" ref="Q190" si="261">P190*O190</f>
        <v>22.680000000000003</v>
      </c>
      <c r="R190" s="6">
        <f t="shared" ref="R190" si="262">IFERROR(Q190+N190+L190,"")</f>
        <v>22.680000000000003</v>
      </c>
    </row>
    <row r="191" spans="1:18" x14ac:dyDescent="0.25">
      <c r="A191" t="s">
        <v>27</v>
      </c>
      <c r="B191" t="str">
        <f t="shared" ref="B191" si="263">IF($G190="","Hide","Show")</f>
        <v>Show</v>
      </c>
      <c r="H191" t="str">
        <f>"3-5 lb"</f>
        <v>3-5 lb</v>
      </c>
    </row>
    <row r="192" spans="1:18" x14ac:dyDescent="0.25">
      <c r="A192" t="s">
        <v>27</v>
      </c>
      <c r="B192" t="str">
        <f t="shared" ref="B192" si="264">IF($G152="","Hide","Show")</f>
        <v>Show</v>
      </c>
    </row>
    <row r="193" spans="1:18" ht="17.25" x14ac:dyDescent="0.3">
      <c r="A193" t="s">
        <v>27</v>
      </c>
      <c r="B193" t="str">
        <f t="shared" ref="B193" si="265">IF($G194="","Hide","Show")</f>
        <v>Show</v>
      </c>
      <c r="C193" t="str">
        <f>"""Ceres4"",""TCP-LIVE"",""14012281"",""1"",""PRO-NON"""</f>
        <v>"Ceres4","TCP-LIVE","14012281","1","PRO-NON"</v>
      </c>
      <c r="D193" t="str">
        <f>"PRO-NON"</f>
        <v>PRO-NON</v>
      </c>
      <c r="E193" s="9" t="s">
        <v>10</v>
      </c>
      <c r="F193" s="2"/>
      <c r="G193" s="8" t="str">
        <f>"Protein - Non-Meat Products"</f>
        <v>Protein - Non-Meat Products</v>
      </c>
    </row>
    <row r="194" spans="1:18" x14ac:dyDescent="0.25">
      <c r="A194" t="s">
        <v>27</v>
      </c>
      <c r="B194" t="str">
        <f t="shared" ref="B194:B196" si="266">IF($G194="","Hide","Show")</f>
        <v>Show</v>
      </c>
      <c r="E194" s="1"/>
      <c r="F194" t="str">
        <f>"""Ceres4"",""TCP-LIVE"",""27"",""1"",""P450005"""</f>
        <v>"Ceres4","TCP-LIVE","27","1","P450005"</v>
      </c>
      <c r="G194" t="str">
        <f>"P450005"</f>
        <v>P450005</v>
      </c>
      <c r="H194" t="str">
        <f>"Protein - Pork and Beans"</f>
        <v>Protein - Pork and Beans</v>
      </c>
      <c r="I194" s="5" t="str">
        <f>"CS"</f>
        <v>CS</v>
      </c>
      <c r="J194" s="5">
        <v>23</v>
      </c>
      <c r="K194" s="5">
        <v>0</v>
      </c>
      <c r="L194" t="str">
        <f>IFERROR(IF(K194*J194=0,"0",K194*J194),0)</f>
        <v>0</v>
      </c>
      <c r="M194" s="5">
        <v>0</v>
      </c>
      <c r="N194" t="str">
        <f>IF(M194*J194=0,"0",M194*J194)</f>
        <v>0</v>
      </c>
      <c r="O194" s="5">
        <v>1.1000000000000001</v>
      </c>
      <c r="P194" s="5">
        <v>24.192170000000001</v>
      </c>
      <c r="Q194" s="5">
        <f t="shared" ref="Q194" si="267">P194*O194</f>
        <v>26.611387000000004</v>
      </c>
      <c r="R194" s="6">
        <f t="shared" ref="R194" si="268">IFERROR(Q194+N194+L194,"")</f>
        <v>26.611387000000004</v>
      </c>
    </row>
    <row r="195" spans="1:18" x14ac:dyDescent="0.25">
      <c r="A195" t="s">
        <v>27</v>
      </c>
      <c r="B195" t="str">
        <f t="shared" ref="B195" si="269">IF($G194="","Hide","Show")</f>
        <v>Show</v>
      </c>
      <c r="H195" t="str">
        <f>"24-15 oz"</f>
        <v>24-15 oz</v>
      </c>
    </row>
    <row r="196" spans="1:18" x14ac:dyDescent="0.25">
      <c r="A196" t="s">
        <v>27</v>
      </c>
      <c r="B196" t="str">
        <f t="shared" si="266"/>
        <v>Show</v>
      </c>
      <c r="E196" s="1"/>
      <c r="F196" t="str">
        <f>"""Ceres4"",""TCP-LIVE"",""27"",""1"",""P490034"""</f>
        <v>"Ceres4","TCP-LIVE","27","1","P490034"</v>
      </c>
      <c r="G196" t="str">
        <f>"P490034"</f>
        <v>P490034</v>
      </c>
      <c r="H196" t="str">
        <f>"Protein Non - Pork and Beans"</f>
        <v>Protein Non - Pork and Beans</v>
      </c>
      <c r="I196" s="5" t="str">
        <f>"EA"</f>
        <v>EA</v>
      </c>
      <c r="J196" s="5">
        <v>1</v>
      </c>
      <c r="K196" s="5">
        <v>0</v>
      </c>
      <c r="L196" t="str">
        <f>IFERROR(IF(K196*J196=0,"0",K196*J196),0)</f>
        <v>0</v>
      </c>
      <c r="M196" s="5">
        <v>0</v>
      </c>
      <c r="N196" t="str">
        <f>IF(M196*J196=0,"0",M196*J196)</f>
        <v>0</v>
      </c>
      <c r="O196" s="5">
        <v>1.06</v>
      </c>
      <c r="P196" s="5">
        <v>0.89</v>
      </c>
      <c r="Q196" s="5">
        <f t="shared" ref="Q196" si="270">P196*O196</f>
        <v>0.94340000000000002</v>
      </c>
      <c r="R196" s="6">
        <f t="shared" ref="R196" si="271">IFERROR(Q196+N196+L196,"")</f>
        <v>0.94340000000000002</v>
      </c>
    </row>
    <row r="197" spans="1:18" x14ac:dyDescent="0.25">
      <c r="A197" t="s">
        <v>27</v>
      </c>
      <c r="B197" t="str">
        <f t="shared" ref="B197" si="272">IF($G196="","Hide","Show")</f>
        <v>Show</v>
      </c>
      <c r="H197" t="str">
        <f>"1- 15 oz"</f>
        <v>1- 15 oz</v>
      </c>
    </row>
    <row r="198" spans="1:18" x14ac:dyDescent="0.25">
      <c r="A198" t="s">
        <v>27</v>
      </c>
      <c r="B198" t="str">
        <f t="shared" ref="B198" si="273">IF($G194="","Hide","Show")</f>
        <v>Show</v>
      </c>
    </row>
    <row r="199" spans="1:18" ht="17.25" hidden="1" x14ac:dyDescent="0.3">
      <c r="A199" t="s">
        <v>27</v>
      </c>
      <c r="B199" t="str">
        <f t="shared" ref="B199" si="274">IF($G200="","Hide","Show")</f>
        <v>Hide</v>
      </c>
      <c r="C199" t="str">
        <f>"""Ceres4"",""TCP-LIVE"",""14012281"",""1"",""RICE"""</f>
        <v>"Ceres4","TCP-LIVE","14012281","1","RICE"</v>
      </c>
      <c r="D199" t="str">
        <f>"RICE"</f>
        <v>RICE</v>
      </c>
      <c r="E199" s="9" t="s">
        <v>10</v>
      </c>
      <c r="F199" s="2"/>
      <c r="G199" s="8" t="str">
        <f>"Rice"</f>
        <v>Rice</v>
      </c>
    </row>
    <row r="200" spans="1:18" hidden="1" x14ac:dyDescent="0.25">
      <c r="A200" t="s">
        <v>27</v>
      </c>
      <c r="B200" t="str">
        <f t="shared" ref="B200" si="275">IF($G200="","Hide","Show")</f>
        <v>Hide</v>
      </c>
      <c r="E200" s="1"/>
      <c r="F200" t="str">
        <f>""</f>
        <v/>
      </c>
      <c r="G200" t="str">
        <f>""</f>
        <v/>
      </c>
      <c r="H200" t="str">
        <f>""</f>
        <v/>
      </c>
      <c r="I200" s="5" t="str">
        <f>""</f>
        <v/>
      </c>
      <c r="J200" s="5" t="str">
        <f>""</f>
        <v/>
      </c>
      <c r="K200" s="5" t="str">
        <f>"0"</f>
        <v>0</v>
      </c>
      <c r="L200">
        <f>IFERROR(IF(K200*J200=0,"0",K200*J200),0)</f>
        <v>0</v>
      </c>
      <c r="M200" s="5" t="str">
        <f>""</f>
        <v/>
      </c>
      <c r="N200" t="e">
        <f>IF(M200*J200=0,"0",M200*J200)</f>
        <v>#VALUE!</v>
      </c>
      <c r="O200" s="5" t="str">
        <f>""</f>
        <v/>
      </c>
      <c r="P200" s="5" t="str">
        <f>""</f>
        <v/>
      </c>
      <c r="Q200" s="5" t="e">
        <f t="shared" ref="Q200" si="276">P200*O200</f>
        <v>#VALUE!</v>
      </c>
      <c r="R200" s="6" t="str">
        <f t="shared" ref="R200" si="277">IFERROR(Q200+N200+L200,"")</f>
        <v/>
      </c>
    </row>
    <row r="201" spans="1:18" hidden="1" x14ac:dyDescent="0.25">
      <c r="A201" t="s">
        <v>27</v>
      </c>
      <c r="B201" t="str">
        <f t="shared" ref="B201" si="278">IF($G200="","Hide","Show")</f>
        <v>Hide</v>
      </c>
      <c r="H201" t="str">
        <f>""</f>
        <v/>
      </c>
    </row>
    <row r="202" spans="1:18" hidden="1" x14ac:dyDescent="0.25">
      <c r="A202" t="s">
        <v>27</v>
      </c>
      <c r="B202" t="str">
        <f t="shared" ref="B202" si="279">IF($G200="","Hide","Show")</f>
        <v>Hide</v>
      </c>
    </row>
    <row r="203" spans="1:18" ht="17.25" hidden="1" x14ac:dyDescent="0.3">
      <c r="A203" t="s">
        <v>27</v>
      </c>
      <c r="B203" t="str">
        <f t="shared" ref="B203" si="280">IF($G204="","Hide","Show")</f>
        <v>Hide</v>
      </c>
      <c r="C203" t="str">
        <f>"""Ceres4"",""TCP-LIVE"",""14012281"",""1"",""SALVAGE"""</f>
        <v>"Ceres4","TCP-LIVE","14012281","1","SALVAGE"</v>
      </c>
      <c r="D203" t="str">
        <f>"SALVAGE"</f>
        <v>SALVAGE</v>
      </c>
      <c r="E203" s="9" t="s">
        <v>10</v>
      </c>
      <c r="F203" s="2"/>
      <c r="G203" s="8" t="str">
        <f>"Sorted or Unsorted Salvage Products"</f>
        <v>Sorted or Unsorted Salvage Products</v>
      </c>
    </row>
    <row r="204" spans="1:18" hidden="1" x14ac:dyDescent="0.25">
      <c r="A204" t="s">
        <v>27</v>
      </c>
      <c r="B204" t="str">
        <f t="shared" ref="B204" si="281">IF($G204="","Hide","Show")</f>
        <v>Hide</v>
      </c>
      <c r="E204" s="1"/>
      <c r="F204" t="str">
        <f>""</f>
        <v/>
      </c>
      <c r="G204" t="str">
        <f>""</f>
        <v/>
      </c>
      <c r="H204" t="str">
        <f>""</f>
        <v/>
      </c>
      <c r="I204" s="5" t="str">
        <f>""</f>
        <v/>
      </c>
      <c r="J204" s="5" t="str">
        <f>""</f>
        <v/>
      </c>
      <c r="K204" s="5" t="str">
        <f>"0"</f>
        <v>0</v>
      </c>
      <c r="L204">
        <f>IFERROR(IF(K204*J204=0,"0",K204*J204),0)</f>
        <v>0</v>
      </c>
      <c r="M204" s="5" t="str">
        <f>""</f>
        <v/>
      </c>
      <c r="N204" t="e">
        <f>IF(M204*J204=0,"0",M204*J204)</f>
        <v>#VALUE!</v>
      </c>
      <c r="O204" s="5" t="str">
        <f>""</f>
        <v/>
      </c>
      <c r="P204" s="5" t="str">
        <f>""</f>
        <v/>
      </c>
      <c r="Q204" s="5" t="e">
        <f t="shared" ref="Q204" si="282">P204*O204</f>
        <v>#VALUE!</v>
      </c>
      <c r="R204" s="6" t="str">
        <f t="shared" ref="R204" si="283">IFERROR(Q204+N204+L204,"")</f>
        <v/>
      </c>
    </row>
    <row r="205" spans="1:18" hidden="1" x14ac:dyDescent="0.25">
      <c r="A205" t="s">
        <v>27</v>
      </c>
      <c r="B205" t="str">
        <f t="shared" ref="B205" si="284">IF($G204="","Hide","Show")</f>
        <v>Hide</v>
      </c>
      <c r="H205" t="str">
        <f>""</f>
        <v/>
      </c>
    </row>
    <row r="206" spans="1:18" hidden="1" x14ac:dyDescent="0.25">
      <c r="A206" t="s">
        <v>27</v>
      </c>
      <c r="B206" t="str">
        <f t="shared" ref="B206" si="285">IF($G204="","Hide","Show")</f>
        <v>Hide</v>
      </c>
    </row>
    <row r="207" spans="1:18" ht="17.25" hidden="1" x14ac:dyDescent="0.3">
      <c r="A207" t="s">
        <v>27</v>
      </c>
      <c r="B207" t="str">
        <f t="shared" ref="B207" si="286">IF($G208="","Hide","Show")</f>
        <v>Hide</v>
      </c>
      <c r="C207" t="str">
        <f>"""Ceres4"",""TCP-LIVE"",""14012281"",""1"",""SNACK"""</f>
        <v>"Ceres4","TCP-LIVE","14012281","1","SNACK"</v>
      </c>
      <c r="D207" t="str">
        <f>"SNACK"</f>
        <v>SNACK</v>
      </c>
      <c r="E207" s="9" t="s">
        <v>10</v>
      </c>
      <c r="F207" s="2"/>
      <c r="G207" s="8" t="str">
        <f>"Snack Products"</f>
        <v>Snack Products</v>
      </c>
    </row>
    <row r="208" spans="1:18" hidden="1" x14ac:dyDescent="0.25">
      <c r="A208" t="s">
        <v>27</v>
      </c>
      <c r="B208" t="str">
        <f t="shared" ref="B208" si="287">IF($G208="","Hide","Show")</f>
        <v>Hide</v>
      </c>
      <c r="E208" s="1"/>
      <c r="F208" t="str">
        <f>""</f>
        <v/>
      </c>
      <c r="G208" t="str">
        <f>""</f>
        <v/>
      </c>
      <c r="H208" t="str">
        <f>""</f>
        <v/>
      </c>
      <c r="I208" s="5" t="str">
        <f>""</f>
        <v/>
      </c>
      <c r="J208" s="5" t="str">
        <f>""</f>
        <v/>
      </c>
      <c r="K208" s="5" t="str">
        <f>"0"</f>
        <v>0</v>
      </c>
      <c r="L208">
        <f>IFERROR(IF(K208*J208=0,"0",K208*J208),0)</f>
        <v>0</v>
      </c>
      <c r="M208" s="5" t="str">
        <f>""</f>
        <v/>
      </c>
      <c r="N208" t="e">
        <f>IF(M208*J208=0,"0",M208*J208)</f>
        <v>#VALUE!</v>
      </c>
      <c r="O208" s="5" t="str">
        <f>""</f>
        <v/>
      </c>
      <c r="P208" s="5" t="str">
        <f>""</f>
        <v/>
      </c>
      <c r="Q208" s="5" t="e">
        <f t="shared" ref="Q208" si="288">P208*O208</f>
        <v>#VALUE!</v>
      </c>
      <c r="R208" s="6" t="str">
        <f t="shared" ref="R208" si="289">IFERROR(Q208+N208+L208,"")</f>
        <v/>
      </c>
    </row>
    <row r="209" spans="1:18" hidden="1" x14ac:dyDescent="0.25">
      <c r="A209" t="s">
        <v>27</v>
      </c>
      <c r="B209" t="str">
        <f t="shared" ref="B209" si="290">IF($G208="","Hide","Show")</f>
        <v>Hide</v>
      </c>
      <c r="H209" t="str">
        <f>""</f>
        <v/>
      </c>
    </row>
    <row r="210" spans="1:18" hidden="1" x14ac:dyDescent="0.25">
      <c r="A210" t="s">
        <v>27</v>
      </c>
      <c r="B210" t="str">
        <f t="shared" ref="B210" si="291">IF($G208="","Hide","Show")</f>
        <v>Hide</v>
      </c>
    </row>
    <row r="211" spans="1:18" ht="17.25" x14ac:dyDescent="0.3">
      <c r="A211" t="s">
        <v>27</v>
      </c>
      <c r="B211" t="str">
        <f t="shared" ref="B211" si="292">IF($G212="","Hide","Show")</f>
        <v>Show</v>
      </c>
      <c r="C211" t="str">
        <f>"""Ceres4"",""TCP-LIVE"",""14012281"",""1"",""SOUP"""</f>
        <v>"Ceres4","TCP-LIVE","14012281","1","SOUP"</v>
      </c>
      <c r="D211" t="str">
        <f>"SOUP"</f>
        <v>SOUP</v>
      </c>
      <c r="E211" s="9" t="s">
        <v>10</v>
      </c>
      <c r="F211" s="2"/>
      <c r="G211" s="8" t="str">
        <f>"Soup Products"</f>
        <v>Soup Products</v>
      </c>
    </row>
    <row r="212" spans="1:18" x14ac:dyDescent="0.25">
      <c r="A212" t="s">
        <v>27</v>
      </c>
      <c r="B212" t="str">
        <f t="shared" ref="B212:B220" si="293">IF($G212="","Hide","Show")</f>
        <v>Show</v>
      </c>
      <c r="E212" s="1"/>
      <c r="F212" t="str">
        <f>"""Ceres4"",""TCP-LIVE"",""27"",""1"",""P7000006"""</f>
        <v>"Ceres4","TCP-LIVE","27","1","P7000006"</v>
      </c>
      <c r="G212" t="str">
        <f>"P7000006"</f>
        <v>P7000006</v>
      </c>
      <c r="H212" t="str">
        <f>"Soup - Chicken and Rice"</f>
        <v>Soup - Chicken and Rice</v>
      </c>
      <c r="I212" s="5" t="str">
        <f>"CS"</f>
        <v>CS</v>
      </c>
      <c r="J212" s="5">
        <v>8</v>
      </c>
      <c r="K212" s="5">
        <v>0</v>
      </c>
      <c r="L212" t="str">
        <f>IFERROR(IF(K212*J212=0,"0",K212*J212),0)</f>
        <v>0</v>
      </c>
      <c r="M212" s="5">
        <v>0</v>
      </c>
      <c r="N212" t="str">
        <f>IF(M212*J212=0,"0",M212*J212)</f>
        <v>0</v>
      </c>
      <c r="O212" s="5">
        <v>1.1000000000000001</v>
      </c>
      <c r="P212" s="5">
        <v>7.62</v>
      </c>
      <c r="Q212" s="5">
        <f t="shared" ref="Q212" si="294">P212*O212</f>
        <v>8.3820000000000014</v>
      </c>
      <c r="R212" s="6">
        <f t="shared" ref="R212" si="295">IFERROR(Q212+N212+L212,"")</f>
        <v>8.3820000000000014</v>
      </c>
    </row>
    <row r="213" spans="1:18" x14ac:dyDescent="0.25">
      <c r="A213" t="s">
        <v>27</v>
      </c>
      <c r="B213" t="str">
        <f t="shared" ref="B213" si="296">IF($G212="","Hide","Show")</f>
        <v>Show</v>
      </c>
      <c r="H213" t="str">
        <f>"12-11 oz"</f>
        <v>12-11 oz</v>
      </c>
    </row>
    <row r="214" spans="1:18" x14ac:dyDescent="0.25">
      <c r="A214" t="s">
        <v>27</v>
      </c>
      <c r="B214" t="str">
        <f t="shared" si="293"/>
        <v>Show</v>
      </c>
      <c r="E214" s="1"/>
      <c r="F214" t="str">
        <f>"""Ceres4"",""TCP-LIVE"",""27"",""1"",""P700010"""</f>
        <v>"Ceres4","TCP-LIVE","27","1","P700010"</v>
      </c>
      <c r="G214" t="str">
        <f>"P700010"</f>
        <v>P700010</v>
      </c>
      <c r="H214" t="str">
        <f>"Soup - Chicken Noodle Condensed"</f>
        <v>Soup - Chicken Noodle Condensed</v>
      </c>
      <c r="I214" s="5" t="str">
        <f>"CS"</f>
        <v>CS</v>
      </c>
      <c r="J214" s="5">
        <v>33</v>
      </c>
      <c r="K214" s="5">
        <v>0</v>
      </c>
      <c r="L214" t="str">
        <f>IFERROR(IF(K214*J214=0,"0",K214*J214),0)</f>
        <v>0</v>
      </c>
      <c r="M214" s="5">
        <v>0</v>
      </c>
      <c r="N214" t="str">
        <f>IF(M214*J214=0,"0",M214*J214)</f>
        <v>0</v>
      </c>
      <c r="O214" s="5">
        <v>1.1000000000000001</v>
      </c>
      <c r="P214" s="5">
        <v>27.75619</v>
      </c>
      <c r="Q214" s="5">
        <f t="shared" ref="Q214" si="297">P214*O214</f>
        <v>30.531809000000003</v>
      </c>
      <c r="R214" s="6">
        <f t="shared" ref="R214" si="298">IFERROR(Q214+N214+L214,"")</f>
        <v>30.531809000000003</v>
      </c>
    </row>
    <row r="215" spans="1:18" x14ac:dyDescent="0.25">
      <c r="A215" t="s">
        <v>27</v>
      </c>
      <c r="B215" t="str">
        <f t="shared" ref="B215" si="299">IF($G214="","Hide","Show")</f>
        <v>Show</v>
      </c>
      <c r="H215" t="str">
        <f>"48-11 oz"</f>
        <v>48-11 oz</v>
      </c>
    </row>
    <row r="216" spans="1:18" x14ac:dyDescent="0.25">
      <c r="A216" t="s">
        <v>27</v>
      </c>
      <c r="B216" t="str">
        <f t="shared" si="293"/>
        <v>Show</v>
      </c>
      <c r="E216" s="1"/>
      <c r="F216" t="str">
        <f>"""Ceres4"",""TCP-LIVE"",""27"",""1"",""P700011"""</f>
        <v>"Ceres4","TCP-LIVE","27","1","P700011"</v>
      </c>
      <c r="G216" t="str">
        <f>"P700011"</f>
        <v>P700011</v>
      </c>
      <c r="H216" t="str">
        <f>"Soup - Tomato Condensed"</f>
        <v>Soup - Tomato Condensed</v>
      </c>
      <c r="I216" s="5" t="str">
        <f>"CS"</f>
        <v>CS</v>
      </c>
      <c r="J216" s="5">
        <v>33</v>
      </c>
      <c r="K216" s="5">
        <v>0</v>
      </c>
      <c r="L216" t="str">
        <f>IFERROR(IF(K216*J216=0,"0",K216*J216),0)</f>
        <v>0</v>
      </c>
      <c r="M216" s="5">
        <v>0</v>
      </c>
      <c r="N216" t="str">
        <f>IF(M216*J216=0,"0",M216*J216)</f>
        <v>0</v>
      </c>
      <c r="O216" s="5">
        <v>1.1000000000000001</v>
      </c>
      <c r="P216" s="5">
        <v>26.256</v>
      </c>
      <c r="Q216" s="5">
        <f t="shared" ref="Q216" si="300">P216*O216</f>
        <v>28.881600000000002</v>
      </c>
      <c r="R216" s="6">
        <f t="shared" ref="R216" si="301">IFERROR(Q216+N216+L216,"")</f>
        <v>28.881600000000002</v>
      </c>
    </row>
    <row r="217" spans="1:18" x14ac:dyDescent="0.25">
      <c r="A217" t="s">
        <v>27</v>
      </c>
      <c r="B217" t="str">
        <f t="shared" ref="B217" si="302">IF($G216="","Hide","Show")</f>
        <v>Show</v>
      </c>
      <c r="H217" t="str">
        <f>"48-11 oz"</f>
        <v>48-11 oz</v>
      </c>
    </row>
    <row r="218" spans="1:18" x14ac:dyDescent="0.25">
      <c r="A218" t="s">
        <v>27</v>
      </c>
      <c r="B218" t="str">
        <f t="shared" si="293"/>
        <v>Show</v>
      </c>
      <c r="E218" s="1"/>
      <c r="F218" t="str">
        <f>"""Ceres4"",""TCP-LIVE"",""27"",""1"",""P740003"""</f>
        <v>"Ceres4","TCP-LIVE","27","1","P740003"</v>
      </c>
      <c r="G218" t="str">
        <f>"P740003"</f>
        <v>P740003</v>
      </c>
      <c r="H218" t="str">
        <f>"Soup - Ramen Noodles Chicken"</f>
        <v>Soup - Ramen Noodles Chicken</v>
      </c>
      <c r="I218" s="5" t="str">
        <f>"CS"</f>
        <v>CS</v>
      </c>
      <c r="J218" s="5">
        <v>1</v>
      </c>
      <c r="K218" s="5">
        <v>0</v>
      </c>
      <c r="L218" t="str">
        <f>IFERROR(IF(K218*J218=0,"0",K218*J218),0)</f>
        <v>0</v>
      </c>
      <c r="M218" s="5">
        <v>0</v>
      </c>
      <c r="N218" t="str">
        <f>IF(M218*J218=0,"0",M218*J218)</f>
        <v>0</v>
      </c>
      <c r="O218" s="5">
        <v>1.1000000000000001</v>
      </c>
      <c r="P218" s="5">
        <v>11.448</v>
      </c>
      <c r="Q218" s="5">
        <f t="shared" ref="Q218" si="303">P218*O218</f>
        <v>12.592800000000002</v>
      </c>
      <c r="R218" s="6">
        <f t="shared" ref="R218" si="304">IFERROR(Q218+N218+L218,"")</f>
        <v>12.592800000000002</v>
      </c>
    </row>
    <row r="219" spans="1:18" x14ac:dyDescent="0.25">
      <c r="A219" t="s">
        <v>27</v>
      </c>
      <c r="B219" t="str">
        <f t="shared" ref="B219" si="305">IF($G218="","Hide","Show")</f>
        <v>Show</v>
      </c>
      <c r="H219" t="str">
        <f>"6-2 oz"</f>
        <v>6-2 oz</v>
      </c>
    </row>
    <row r="220" spans="1:18" x14ac:dyDescent="0.25">
      <c r="A220" t="s">
        <v>27</v>
      </c>
      <c r="B220" t="str">
        <f t="shared" si="293"/>
        <v>Show</v>
      </c>
      <c r="E220" s="1"/>
      <c r="F220" t="str">
        <f>"""Ceres4"",""TCP-LIVE"",""27"",""1"",""P740004"""</f>
        <v>"Ceres4","TCP-LIVE","27","1","P740004"</v>
      </c>
      <c r="G220" t="str">
        <f>"P740004"</f>
        <v>P740004</v>
      </c>
      <c r="H220" t="str">
        <f>"Soup - Ramen Noodles Vegetable"</f>
        <v>Soup - Ramen Noodles Vegetable</v>
      </c>
      <c r="I220" s="5" t="str">
        <f>"CS"</f>
        <v>CS</v>
      </c>
      <c r="J220" s="5">
        <v>1</v>
      </c>
      <c r="K220" s="5">
        <v>0</v>
      </c>
      <c r="L220" t="str">
        <f>IFERROR(IF(K220*J220=0,"0",K220*J220),0)</f>
        <v>0</v>
      </c>
      <c r="M220" s="5">
        <v>0</v>
      </c>
      <c r="N220" t="str">
        <f>IF(M220*J220=0,"0",M220*J220)</f>
        <v>0</v>
      </c>
      <c r="O220" s="5">
        <v>1.1000000000000001</v>
      </c>
      <c r="P220" s="5">
        <v>11.448</v>
      </c>
      <c r="Q220" s="5">
        <f t="shared" ref="Q220" si="306">P220*O220</f>
        <v>12.592800000000002</v>
      </c>
      <c r="R220" s="6">
        <f t="shared" ref="R220" si="307">IFERROR(Q220+N220+L220,"")</f>
        <v>12.592800000000002</v>
      </c>
    </row>
    <row r="221" spans="1:18" x14ac:dyDescent="0.25">
      <c r="A221" t="s">
        <v>27</v>
      </c>
      <c r="B221" t="str">
        <f t="shared" ref="B221" si="308">IF($G220="","Hide","Show")</f>
        <v>Show</v>
      </c>
      <c r="H221" t="str">
        <f>"6-2 ox"</f>
        <v>6-2 ox</v>
      </c>
    </row>
    <row r="222" spans="1:18" x14ac:dyDescent="0.25">
      <c r="A222" t="s">
        <v>27</v>
      </c>
      <c r="B222" t="str">
        <f t="shared" ref="B222" si="309">IF($G212="","Hide","Show")</f>
        <v>Show</v>
      </c>
    </row>
  </sheetData>
  <mergeCells count="4">
    <mergeCell ref="C4:R4"/>
    <mergeCell ref="G6:H6"/>
    <mergeCell ref="G8:H8"/>
    <mergeCell ref="C3:R3"/>
  </mergeCells>
  <printOptions gridLine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2" workbookViewId="0"/>
  </sheetViews>
  <sheetFormatPr defaultRowHeight="15" x14ac:dyDescent="0.25"/>
  <cols>
    <col min="1" max="1" width="9.140625" hidden="1" customWidth="1"/>
  </cols>
  <sheetData>
    <row r="1" spans="1:1" hidden="1" x14ac:dyDescent="0.25">
      <c r="A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Baldwin</dc:creator>
  <cp:lastModifiedBy>Coo</cp:lastModifiedBy>
  <cp:lastPrinted>2013-11-07T23:23:16Z</cp:lastPrinted>
  <dcterms:created xsi:type="dcterms:W3CDTF">2013-03-28T16:24:23Z</dcterms:created>
  <dcterms:modified xsi:type="dcterms:W3CDTF">2020-08-03T17:29:40Z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	1033</vt:lpwstr>
  </property>
</Properties>
</file>