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xr:revisionPtr revIDLastSave="0" documentId="8_{DE77D147-B6E9-410A-B02C-EFEE16711D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2" l="1"/>
  <c r="H17" i="2"/>
  <c r="H18" i="2"/>
  <c r="H19" i="2"/>
  <c r="H20" i="2"/>
  <c r="I15" i="2"/>
  <c r="I17" i="2"/>
  <c r="I19" i="2"/>
  <c r="H15" i="2"/>
  <c r="G15" i="2"/>
  <c r="G17" i="2"/>
  <c r="B17" i="2" s="1"/>
  <c r="G19" i="2"/>
  <c r="B19" i="2" s="1"/>
  <c r="F17" i="2"/>
  <c r="F19" i="2"/>
  <c r="Q19" i="2"/>
  <c r="N19" i="2"/>
  <c r="B18" i="2"/>
  <c r="Q17" i="2"/>
  <c r="N17" i="2"/>
  <c r="B20" i="2" l="1"/>
  <c r="L17" i="2"/>
  <c r="R17" i="2" s="1"/>
  <c r="L19" i="2"/>
  <c r="R19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I31" i="2"/>
  <c r="I33" i="2"/>
  <c r="I35" i="2"/>
  <c r="I37" i="2"/>
  <c r="I39" i="2"/>
  <c r="I41" i="2"/>
  <c r="I43" i="2"/>
  <c r="I45" i="2"/>
  <c r="I47" i="2"/>
  <c r="H31" i="2"/>
  <c r="G31" i="2"/>
  <c r="G33" i="2"/>
  <c r="G35" i="2"/>
  <c r="G37" i="2"/>
  <c r="B37" i="2" s="1"/>
  <c r="G39" i="2"/>
  <c r="B40" i="2" s="1"/>
  <c r="G41" i="2"/>
  <c r="G43" i="2"/>
  <c r="G45" i="2"/>
  <c r="G47" i="2"/>
  <c r="B48" i="2" s="1"/>
  <c r="F33" i="2"/>
  <c r="F35" i="2"/>
  <c r="F37" i="2"/>
  <c r="F39" i="2"/>
  <c r="F41" i="2"/>
  <c r="F43" i="2"/>
  <c r="F45" i="2"/>
  <c r="F47" i="2"/>
  <c r="Q47" i="2"/>
  <c r="N47" i="2"/>
  <c r="B46" i="2"/>
  <c r="Q45" i="2"/>
  <c r="N45" i="2"/>
  <c r="B45" i="2"/>
  <c r="B44" i="2"/>
  <c r="Q43" i="2"/>
  <c r="N43" i="2"/>
  <c r="B43" i="2"/>
  <c r="B42" i="2"/>
  <c r="Q41" i="2"/>
  <c r="N41" i="2"/>
  <c r="B41" i="2"/>
  <c r="Q39" i="2"/>
  <c r="N39" i="2"/>
  <c r="B38" i="2"/>
  <c r="Q37" i="2"/>
  <c r="N37" i="2"/>
  <c r="B36" i="2"/>
  <c r="Q35" i="2"/>
  <c r="N35" i="2"/>
  <c r="B35" i="2"/>
  <c r="B34" i="2"/>
  <c r="Q33" i="2"/>
  <c r="N33" i="2"/>
  <c r="B33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I51" i="2"/>
  <c r="I53" i="2"/>
  <c r="I55" i="2"/>
  <c r="I57" i="2"/>
  <c r="I59" i="2"/>
  <c r="I61" i="2"/>
  <c r="I63" i="2"/>
  <c r="I65" i="2"/>
  <c r="I67" i="2"/>
  <c r="I69" i="2"/>
  <c r="I71" i="2"/>
  <c r="H51" i="2"/>
  <c r="G51" i="2"/>
  <c r="G53" i="2"/>
  <c r="G55" i="2"/>
  <c r="G57" i="2"/>
  <c r="G59" i="2"/>
  <c r="G61" i="2"/>
  <c r="G63" i="2"/>
  <c r="G65" i="2"/>
  <c r="G67" i="2"/>
  <c r="G69" i="2"/>
  <c r="G71" i="2"/>
  <c r="B39" i="2" l="1"/>
  <c r="B47" i="2"/>
  <c r="L33" i="2"/>
  <c r="L35" i="2"/>
  <c r="L37" i="2"/>
  <c r="L39" i="2"/>
  <c r="L41" i="2"/>
  <c r="L43" i="2"/>
  <c r="L45" i="2"/>
  <c r="L47" i="2"/>
  <c r="R33" i="2"/>
  <c r="R35" i="2"/>
  <c r="R37" i="2"/>
  <c r="R39" i="2"/>
  <c r="R41" i="2"/>
  <c r="R43" i="2"/>
  <c r="R45" i="2"/>
  <c r="R47" i="2"/>
  <c r="F53" i="2"/>
  <c r="F55" i="2"/>
  <c r="F57" i="2"/>
  <c r="F59" i="2"/>
  <c r="F61" i="2"/>
  <c r="F63" i="2"/>
  <c r="F65" i="2"/>
  <c r="F67" i="2"/>
  <c r="F69" i="2"/>
  <c r="F71" i="2"/>
  <c r="B72" i="2"/>
  <c r="Q71" i="2"/>
  <c r="N71" i="2"/>
  <c r="B71" i="2"/>
  <c r="B70" i="2"/>
  <c r="Q69" i="2"/>
  <c r="N69" i="2"/>
  <c r="B69" i="2"/>
  <c r="B68" i="2"/>
  <c r="Q67" i="2"/>
  <c r="N67" i="2"/>
  <c r="B67" i="2"/>
  <c r="B66" i="2"/>
  <c r="Q65" i="2"/>
  <c r="N65" i="2"/>
  <c r="B65" i="2"/>
  <c r="B64" i="2"/>
  <c r="Q63" i="2"/>
  <c r="N63" i="2"/>
  <c r="B63" i="2"/>
  <c r="B62" i="2"/>
  <c r="Q61" i="2"/>
  <c r="N61" i="2"/>
  <c r="B61" i="2"/>
  <c r="B60" i="2"/>
  <c r="Q59" i="2"/>
  <c r="N59" i="2"/>
  <c r="B59" i="2"/>
  <c r="B58" i="2"/>
  <c r="Q57" i="2"/>
  <c r="N57" i="2"/>
  <c r="B57" i="2"/>
  <c r="B56" i="2"/>
  <c r="Q55" i="2"/>
  <c r="N55" i="2"/>
  <c r="B55" i="2"/>
  <c r="B54" i="2"/>
  <c r="Q53" i="2"/>
  <c r="N53" i="2"/>
  <c r="B53" i="2"/>
  <c r="H76" i="2"/>
  <c r="H77" i="2"/>
  <c r="H78" i="2"/>
  <c r="H79" i="2"/>
  <c r="H80" i="2"/>
  <c r="H81" i="2"/>
  <c r="H82" i="2"/>
  <c r="H83" i="2"/>
  <c r="H84" i="2"/>
  <c r="I75" i="2"/>
  <c r="I77" i="2"/>
  <c r="I79" i="2"/>
  <c r="I81" i="2"/>
  <c r="I83" i="2"/>
  <c r="H75" i="2"/>
  <c r="G75" i="2"/>
  <c r="G77" i="2"/>
  <c r="G79" i="2"/>
  <c r="G81" i="2"/>
  <c r="G83" i="2"/>
  <c r="L53" i="2" l="1"/>
  <c r="L55" i="2"/>
  <c r="L57" i="2"/>
  <c r="R57" i="2" s="1"/>
  <c r="L59" i="2"/>
  <c r="R59" i="2" s="1"/>
  <c r="L61" i="2"/>
  <c r="L63" i="2"/>
  <c r="L65" i="2"/>
  <c r="L67" i="2"/>
  <c r="R67" i="2" s="1"/>
  <c r="L69" i="2"/>
  <c r="L71" i="2"/>
  <c r="R53" i="2"/>
  <c r="R55" i="2"/>
  <c r="R61" i="2"/>
  <c r="R63" i="2"/>
  <c r="R65" i="2"/>
  <c r="R69" i="2"/>
  <c r="R71" i="2"/>
  <c r="F77" i="2"/>
  <c r="F79" i="2"/>
  <c r="F81" i="2"/>
  <c r="F83" i="2"/>
  <c r="B84" i="2"/>
  <c r="Q83" i="2"/>
  <c r="N83" i="2"/>
  <c r="B83" i="2"/>
  <c r="B82" i="2"/>
  <c r="Q81" i="2"/>
  <c r="N81" i="2"/>
  <c r="B81" i="2"/>
  <c r="B80" i="2"/>
  <c r="Q79" i="2"/>
  <c r="N79" i="2"/>
  <c r="B79" i="2"/>
  <c r="B78" i="2"/>
  <c r="Q77" i="2"/>
  <c r="N77" i="2"/>
  <c r="B77" i="2"/>
  <c r="L77" i="2" l="1"/>
  <c r="L79" i="2"/>
  <c r="L81" i="2"/>
  <c r="R81" i="2" s="1"/>
  <c r="L83" i="2"/>
  <c r="R77" i="2"/>
  <c r="R79" i="2"/>
  <c r="R83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I95" i="2"/>
  <c r="I97" i="2"/>
  <c r="I99" i="2"/>
  <c r="I101" i="2"/>
  <c r="I103" i="2"/>
  <c r="I105" i="2"/>
  <c r="I107" i="2"/>
  <c r="H95" i="2"/>
  <c r="G95" i="2"/>
  <c r="G97" i="2"/>
  <c r="B97" i="2" s="1"/>
  <c r="G99" i="2"/>
  <c r="B100" i="2" s="1"/>
  <c r="G101" i="2"/>
  <c r="G103" i="2"/>
  <c r="G105" i="2"/>
  <c r="B105" i="2" s="1"/>
  <c r="G107" i="2"/>
  <c r="B108" i="2" s="1"/>
  <c r="F97" i="2"/>
  <c r="F99" i="2"/>
  <c r="F101" i="2"/>
  <c r="F103" i="2"/>
  <c r="F105" i="2"/>
  <c r="F107" i="2"/>
  <c r="Q107" i="2"/>
  <c r="N107" i="2"/>
  <c r="B106" i="2"/>
  <c r="Q105" i="2"/>
  <c r="N105" i="2"/>
  <c r="B104" i="2"/>
  <c r="Q103" i="2"/>
  <c r="N103" i="2"/>
  <c r="B103" i="2"/>
  <c r="B102" i="2"/>
  <c r="Q101" i="2"/>
  <c r="N101" i="2"/>
  <c r="B101" i="2"/>
  <c r="Q99" i="2"/>
  <c r="N99" i="2"/>
  <c r="B98" i="2"/>
  <c r="Q97" i="2"/>
  <c r="N97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I111" i="2"/>
  <c r="I113" i="2"/>
  <c r="I115" i="2"/>
  <c r="I117" i="2"/>
  <c r="I119" i="2"/>
  <c r="I121" i="2"/>
  <c r="I123" i="2"/>
  <c r="H111" i="2"/>
  <c r="G111" i="2"/>
  <c r="G113" i="2"/>
  <c r="G115" i="2"/>
  <c r="G117" i="2"/>
  <c r="G119" i="2"/>
  <c r="G121" i="2"/>
  <c r="G123" i="2"/>
  <c r="B99" i="2" l="1"/>
  <c r="B107" i="2"/>
  <c r="L97" i="2"/>
  <c r="R97" i="2" s="1"/>
  <c r="L99" i="2"/>
  <c r="R99" i="2" s="1"/>
  <c r="L101" i="2"/>
  <c r="R101" i="2" s="1"/>
  <c r="L103" i="2"/>
  <c r="R103" i="2" s="1"/>
  <c r="L105" i="2"/>
  <c r="L107" i="2"/>
  <c r="R105" i="2"/>
  <c r="R107" i="2"/>
  <c r="F113" i="2"/>
  <c r="F115" i="2"/>
  <c r="F117" i="2"/>
  <c r="F119" i="2"/>
  <c r="F121" i="2"/>
  <c r="F123" i="2"/>
  <c r="B124" i="2"/>
  <c r="Q123" i="2"/>
  <c r="N123" i="2"/>
  <c r="B123" i="2"/>
  <c r="B122" i="2"/>
  <c r="Q121" i="2"/>
  <c r="N121" i="2"/>
  <c r="B121" i="2"/>
  <c r="B120" i="2"/>
  <c r="Q119" i="2"/>
  <c r="N119" i="2"/>
  <c r="B119" i="2"/>
  <c r="B118" i="2"/>
  <c r="Q117" i="2"/>
  <c r="N117" i="2"/>
  <c r="B117" i="2"/>
  <c r="B116" i="2"/>
  <c r="Q115" i="2"/>
  <c r="N115" i="2"/>
  <c r="B115" i="2"/>
  <c r="B114" i="2"/>
  <c r="Q113" i="2"/>
  <c r="N113" i="2"/>
  <c r="B113" i="2"/>
  <c r="L113" i="2" l="1"/>
  <c r="R113" i="2" s="1"/>
  <c r="L115" i="2"/>
  <c r="L117" i="2"/>
  <c r="L119" i="2"/>
  <c r="R119" i="2" s="1"/>
  <c r="L121" i="2"/>
  <c r="R121" i="2" s="1"/>
  <c r="L123" i="2"/>
  <c r="R115" i="2"/>
  <c r="R117" i="2"/>
  <c r="R123" i="2"/>
  <c r="H136" i="2"/>
  <c r="H137" i="2"/>
  <c r="H138" i="2"/>
  <c r="H139" i="2"/>
  <c r="H140" i="2"/>
  <c r="H141" i="2"/>
  <c r="H142" i="2"/>
  <c r="I135" i="2"/>
  <c r="I137" i="2"/>
  <c r="I139" i="2"/>
  <c r="I141" i="2"/>
  <c r="H135" i="2"/>
  <c r="G135" i="2"/>
  <c r="G137" i="2"/>
  <c r="G139" i="2"/>
  <c r="B139" i="2" s="1"/>
  <c r="G141" i="2"/>
  <c r="B141" i="2" s="1"/>
  <c r="F137" i="2"/>
  <c r="F139" i="2"/>
  <c r="F141" i="2"/>
  <c r="B142" i="2"/>
  <c r="Q141" i="2"/>
  <c r="N141" i="2"/>
  <c r="B140" i="2"/>
  <c r="Q139" i="2"/>
  <c r="N139" i="2"/>
  <c r="B138" i="2"/>
  <c r="Q137" i="2"/>
  <c r="N137" i="2"/>
  <c r="B137" i="2"/>
  <c r="L137" i="2" l="1"/>
  <c r="L139" i="2"/>
  <c r="L141" i="2"/>
  <c r="R141" i="2" s="1"/>
  <c r="R137" i="2"/>
  <c r="R139" i="2"/>
  <c r="F183" i="2"/>
  <c r="B184" i="2" l="1"/>
  <c r="B183" i="2"/>
  <c r="L183" i="2"/>
  <c r="N183" i="2"/>
  <c r="Q183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I195" i="2"/>
  <c r="I197" i="2"/>
  <c r="I199" i="2"/>
  <c r="I201" i="2"/>
  <c r="I203" i="2"/>
  <c r="I205" i="2"/>
  <c r="I207" i="2"/>
  <c r="I209" i="2"/>
  <c r="I211" i="2"/>
  <c r="I213" i="2"/>
  <c r="I215" i="2"/>
  <c r="I217" i="2"/>
  <c r="I219" i="2"/>
  <c r="I221" i="2"/>
  <c r="I223" i="2"/>
  <c r="I225" i="2"/>
  <c r="I227" i="2"/>
  <c r="I229" i="2"/>
  <c r="I231" i="2"/>
  <c r="I233" i="2"/>
  <c r="I235" i="2"/>
  <c r="I237" i="2"/>
  <c r="I239" i="2"/>
  <c r="I241" i="2"/>
  <c r="I243" i="2"/>
  <c r="H195" i="2"/>
  <c r="G195" i="2"/>
  <c r="G197" i="2"/>
  <c r="B197" i="2" s="1"/>
  <c r="G199" i="2"/>
  <c r="B199" i="2" s="1"/>
  <c r="G201" i="2"/>
  <c r="B201" i="2" s="1"/>
  <c r="G203" i="2"/>
  <c r="G205" i="2"/>
  <c r="G207" i="2"/>
  <c r="G209" i="2"/>
  <c r="B209" i="2" s="1"/>
  <c r="G211" i="2"/>
  <c r="G213" i="2"/>
  <c r="B213" i="2" s="1"/>
  <c r="G215" i="2"/>
  <c r="B215" i="2" s="1"/>
  <c r="G217" i="2"/>
  <c r="B217" i="2" s="1"/>
  <c r="G219" i="2"/>
  <c r="G221" i="2"/>
  <c r="G223" i="2"/>
  <c r="G225" i="2"/>
  <c r="B225" i="2" s="1"/>
  <c r="G227" i="2"/>
  <c r="G229" i="2"/>
  <c r="B229" i="2" s="1"/>
  <c r="G231" i="2"/>
  <c r="B231" i="2" s="1"/>
  <c r="G233" i="2"/>
  <c r="B233" i="2" s="1"/>
  <c r="G235" i="2"/>
  <c r="G237" i="2"/>
  <c r="G239" i="2"/>
  <c r="G241" i="2"/>
  <c r="B241" i="2" s="1"/>
  <c r="G243" i="2"/>
  <c r="F197" i="2"/>
  <c r="F199" i="2"/>
  <c r="F201" i="2"/>
  <c r="F203" i="2"/>
  <c r="F205" i="2"/>
  <c r="F207" i="2"/>
  <c r="F209" i="2"/>
  <c r="F211" i="2"/>
  <c r="F213" i="2"/>
  <c r="F215" i="2"/>
  <c r="F217" i="2"/>
  <c r="F219" i="2"/>
  <c r="F221" i="2"/>
  <c r="F223" i="2"/>
  <c r="F225" i="2"/>
  <c r="F227" i="2"/>
  <c r="F229" i="2"/>
  <c r="F231" i="2"/>
  <c r="F233" i="2"/>
  <c r="F235" i="2"/>
  <c r="F237" i="2"/>
  <c r="F239" i="2"/>
  <c r="F241" i="2"/>
  <c r="F243" i="2"/>
  <c r="B244" i="2"/>
  <c r="Q243" i="2"/>
  <c r="N243" i="2"/>
  <c r="B243" i="2"/>
  <c r="Q241" i="2"/>
  <c r="N241" i="2"/>
  <c r="B240" i="2"/>
  <c r="Q239" i="2"/>
  <c r="N239" i="2"/>
  <c r="B239" i="2"/>
  <c r="B238" i="2"/>
  <c r="Q237" i="2"/>
  <c r="N237" i="2"/>
  <c r="B237" i="2"/>
  <c r="B236" i="2"/>
  <c r="Q235" i="2"/>
  <c r="N235" i="2"/>
  <c r="B235" i="2"/>
  <c r="Q233" i="2"/>
  <c r="N233" i="2"/>
  <c r="Q231" i="2"/>
  <c r="N231" i="2"/>
  <c r="B230" i="2"/>
  <c r="Q229" i="2"/>
  <c r="N229" i="2"/>
  <c r="B228" i="2"/>
  <c r="Q227" i="2"/>
  <c r="N227" i="2"/>
  <c r="B227" i="2"/>
  <c r="Q225" i="2"/>
  <c r="N225" i="2"/>
  <c r="B224" i="2"/>
  <c r="Q223" i="2"/>
  <c r="N223" i="2"/>
  <c r="B223" i="2"/>
  <c r="B222" i="2"/>
  <c r="Q221" i="2"/>
  <c r="N221" i="2"/>
  <c r="B221" i="2"/>
  <c r="B220" i="2"/>
  <c r="Q219" i="2"/>
  <c r="N219" i="2"/>
  <c r="B219" i="2"/>
  <c r="Q217" i="2"/>
  <c r="N217" i="2"/>
  <c r="Q215" i="2"/>
  <c r="N215" i="2"/>
  <c r="B214" i="2"/>
  <c r="Q213" i="2"/>
  <c r="N213" i="2"/>
  <c r="B212" i="2"/>
  <c r="Q211" i="2"/>
  <c r="N211" i="2"/>
  <c r="B211" i="2"/>
  <c r="Q209" i="2"/>
  <c r="N209" i="2"/>
  <c r="B208" i="2"/>
  <c r="Q207" i="2"/>
  <c r="N207" i="2"/>
  <c r="B207" i="2"/>
  <c r="B206" i="2"/>
  <c r="Q205" i="2"/>
  <c r="N205" i="2"/>
  <c r="B205" i="2"/>
  <c r="B204" i="2"/>
  <c r="Q203" i="2"/>
  <c r="N203" i="2"/>
  <c r="B203" i="2"/>
  <c r="Q201" i="2"/>
  <c r="N201" i="2"/>
  <c r="Q199" i="2"/>
  <c r="N199" i="2"/>
  <c r="B198" i="2"/>
  <c r="Q197" i="2"/>
  <c r="N197" i="2"/>
  <c r="B200" i="2" l="1"/>
  <c r="B216" i="2"/>
  <c r="B232" i="2"/>
  <c r="B202" i="2"/>
  <c r="B210" i="2"/>
  <c r="B218" i="2"/>
  <c r="B226" i="2"/>
  <c r="B234" i="2"/>
  <c r="B242" i="2"/>
  <c r="R183" i="2"/>
  <c r="L197" i="2"/>
  <c r="L199" i="2"/>
  <c r="L201" i="2"/>
  <c r="L203" i="2"/>
  <c r="L205" i="2"/>
  <c r="L207" i="2"/>
  <c r="L209" i="2"/>
  <c r="L211" i="2"/>
  <c r="L213" i="2"/>
  <c r="L215" i="2"/>
  <c r="L217" i="2"/>
  <c r="L219" i="2"/>
  <c r="L221" i="2"/>
  <c r="L223" i="2"/>
  <c r="L225" i="2"/>
  <c r="L227" i="2"/>
  <c r="L229" i="2"/>
  <c r="L231" i="2"/>
  <c r="L233" i="2"/>
  <c r="L235" i="2"/>
  <c r="L237" i="2"/>
  <c r="L239" i="2"/>
  <c r="L241" i="2"/>
  <c r="L243" i="2"/>
  <c r="R197" i="2"/>
  <c r="R199" i="2"/>
  <c r="R201" i="2"/>
  <c r="R203" i="2"/>
  <c r="R205" i="2"/>
  <c r="R207" i="2"/>
  <c r="R209" i="2"/>
  <c r="R211" i="2"/>
  <c r="R213" i="2"/>
  <c r="R215" i="2"/>
  <c r="R217" i="2"/>
  <c r="R219" i="2"/>
  <c r="R221" i="2"/>
  <c r="R223" i="2"/>
  <c r="R225" i="2"/>
  <c r="R227" i="2"/>
  <c r="R229" i="2"/>
  <c r="R231" i="2"/>
  <c r="R233" i="2"/>
  <c r="R235" i="2"/>
  <c r="R237" i="2"/>
  <c r="R239" i="2"/>
  <c r="R241" i="2"/>
  <c r="R243" i="2"/>
  <c r="C14" i="2"/>
  <c r="C22" i="2"/>
  <c r="C26" i="2"/>
  <c r="C30" i="2"/>
  <c r="C50" i="2"/>
  <c r="C74" i="2"/>
  <c r="C86" i="2"/>
  <c r="C90" i="2"/>
  <c r="C94" i="2"/>
  <c r="C110" i="2"/>
  <c r="C126" i="2"/>
  <c r="C130" i="2"/>
  <c r="C134" i="2"/>
  <c r="C144" i="2"/>
  <c r="C148" i="2"/>
  <c r="C152" i="2"/>
  <c r="C156" i="2"/>
  <c r="C160" i="2"/>
  <c r="C164" i="2"/>
  <c r="C168" i="2"/>
  <c r="C172" i="2"/>
  <c r="C176" i="2"/>
  <c r="C180" i="2"/>
  <c r="C186" i="2"/>
  <c r="C190" i="2"/>
  <c r="C194" i="2"/>
  <c r="C246" i="2"/>
  <c r="C250" i="2"/>
  <c r="C254" i="2"/>
  <c r="C258" i="2"/>
  <c r="C262" i="2"/>
  <c r="B10" i="2" l="1"/>
  <c r="Q263" i="2" l="1"/>
  <c r="N263" i="2"/>
  <c r="L263" i="2"/>
  <c r="B265" i="2"/>
  <c r="B264" i="2"/>
  <c r="B263" i="2"/>
  <c r="B262" i="2"/>
  <c r="Q259" i="2"/>
  <c r="N259" i="2"/>
  <c r="L259" i="2"/>
  <c r="B261" i="2"/>
  <c r="B260" i="2"/>
  <c r="B259" i="2"/>
  <c r="B258" i="2"/>
  <c r="Q255" i="2"/>
  <c r="N255" i="2"/>
  <c r="L255" i="2"/>
  <c r="B257" i="2"/>
  <c r="B256" i="2"/>
  <c r="B255" i="2"/>
  <c r="B254" i="2"/>
  <c r="Q251" i="2"/>
  <c r="N251" i="2"/>
  <c r="L251" i="2"/>
  <c r="B253" i="2"/>
  <c r="B252" i="2"/>
  <c r="B251" i="2"/>
  <c r="B250" i="2"/>
  <c r="Q247" i="2"/>
  <c r="N247" i="2"/>
  <c r="L247" i="2"/>
  <c r="B249" i="2"/>
  <c r="B248" i="2"/>
  <c r="B247" i="2"/>
  <c r="B246" i="2"/>
  <c r="Q195" i="2"/>
  <c r="N195" i="2"/>
  <c r="L195" i="2"/>
  <c r="B245" i="2"/>
  <c r="B196" i="2"/>
  <c r="B195" i="2"/>
  <c r="B194" i="2"/>
  <c r="Q191" i="2"/>
  <c r="N191" i="2"/>
  <c r="L191" i="2"/>
  <c r="B193" i="2"/>
  <c r="B192" i="2"/>
  <c r="B191" i="2"/>
  <c r="B190" i="2"/>
  <c r="Q187" i="2"/>
  <c r="N187" i="2"/>
  <c r="L187" i="2"/>
  <c r="B189" i="2"/>
  <c r="B188" i="2"/>
  <c r="B187" i="2"/>
  <c r="B186" i="2"/>
  <c r="Q181" i="2"/>
  <c r="N181" i="2"/>
  <c r="L181" i="2"/>
  <c r="B185" i="2"/>
  <c r="B182" i="2"/>
  <c r="B181" i="2"/>
  <c r="B180" i="2"/>
  <c r="Q177" i="2"/>
  <c r="N177" i="2"/>
  <c r="L177" i="2"/>
  <c r="B179" i="2"/>
  <c r="B178" i="2"/>
  <c r="B177" i="2"/>
  <c r="B176" i="2"/>
  <c r="Q173" i="2"/>
  <c r="N173" i="2"/>
  <c r="L173" i="2"/>
  <c r="B175" i="2"/>
  <c r="B174" i="2"/>
  <c r="B173" i="2"/>
  <c r="B172" i="2"/>
  <c r="Q169" i="2"/>
  <c r="N169" i="2"/>
  <c r="L169" i="2"/>
  <c r="B171" i="2"/>
  <c r="B170" i="2"/>
  <c r="B169" i="2"/>
  <c r="B168" i="2"/>
  <c r="Q165" i="2"/>
  <c r="N165" i="2"/>
  <c r="L165" i="2"/>
  <c r="B167" i="2"/>
  <c r="B166" i="2"/>
  <c r="B165" i="2"/>
  <c r="B164" i="2"/>
  <c r="Q161" i="2"/>
  <c r="N161" i="2"/>
  <c r="L161" i="2"/>
  <c r="B163" i="2"/>
  <c r="B162" i="2"/>
  <c r="B161" i="2"/>
  <c r="B160" i="2"/>
  <c r="Q157" i="2"/>
  <c r="N157" i="2"/>
  <c r="L157" i="2"/>
  <c r="B159" i="2"/>
  <c r="B158" i="2"/>
  <c r="B157" i="2"/>
  <c r="B156" i="2"/>
  <c r="Q153" i="2"/>
  <c r="N153" i="2"/>
  <c r="L153" i="2"/>
  <c r="B155" i="2"/>
  <c r="B154" i="2"/>
  <c r="B153" i="2"/>
  <c r="B152" i="2"/>
  <c r="Q149" i="2"/>
  <c r="N149" i="2"/>
  <c r="L149" i="2"/>
  <c r="B151" i="2"/>
  <c r="B150" i="2"/>
  <c r="B149" i="2"/>
  <c r="B148" i="2"/>
  <c r="Q145" i="2"/>
  <c r="N145" i="2"/>
  <c r="L145" i="2"/>
  <c r="B147" i="2"/>
  <c r="B146" i="2"/>
  <c r="B145" i="2"/>
  <c r="B144" i="2"/>
  <c r="Q135" i="2"/>
  <c r="N135" i="2"/>
  <c r="L135" i="2"/>
  <c r="B143" i="2"/>
  <c r="B136" i="2"/>
  <c r="B135" i="2"/>
  <c r="B134" i="2"/>
  <c r="Q131" i="2"/>
  <c r="N131" i="2"/>
  <c r="L131" i="2"/>
  <c r="B133" i="2"/>
  <c r="B132" i="2"/>
  <c r="B131" i="2"/>
  <c r="B130" i="2"/>
  <c r="Q127" i="2"/>
  <c r="N127" i="2"/>
  <c r="L127" i="2"/>
  <c r="B129" i="2"/>
  <c r="B128" i="2"/>
  <c r="B127" i="2"/>
  <c r="B126" i="2"/>
  <c r="Q111" i="2"/>
  <c r="N111" i="2"/>
  <c r="L111" i="2"/>
  <c r="B125" i="2"/>
  <c r="B112" i="2"/>
  <c r="B111" i="2"/>
  <c r="B110" i="2"/>
  <c r="Q95" i="2"/>
  <c r="N95" i="2"/>
  <c r="L95" i="2"/>
  <c r="B109" i="2"/>
  <c r="B96" i="2"/>
  <c r="B95" i="2"/>
  <c r="B94" i="2"/>
  <c r="Q91" i="2"/>
  <c r="N91" i="2"/>
  <c r="L91" i="2"/>
  <c r="B93" i="2"/>
  <c r="B92" i="2"/>
  <c r="B91" i="2"/>
  <c r="B90" i="2"/>
  <c r="Q87" i="2"/>
  <c r="N87" i="2"/>
  <c r="L87" i="2"/>
  <c r="B89" i="2"/>
  <c r="B88" i="2"/>
  <c r="B87" i="2"/>
  <c r="B86" i="2"/>
  <c r="Q75" i="2"/>
  <c r="N75" i="2"/>
  <c r="L75" i="2"/>
  <c r="B85" i="2"/>
  <c r="B76" i="2"/>
  <c r="B75" i="2"/>
  <c r="B74" i="2"/>
  <c r="Q51" i="2"/>
  <c r="N51" i="2"/>
  <c r="L51" i="2"/>
  <c r="B73" i="2"/>
  <c r="B52" i="2"/>
  <c r="B51" i="2"/>
  <c r="B50" i="2"/>
  <c r="Q31" i="2"/>
  <c r="N31" i="2"/>
  <c r="L31" i="2"/>
  <c r="B49" i="2"/>
  <c r="B32" i="2"/>
  <c r="B31" i="2"/>
  <c r="B30" i="2"/>
  <c r="Q27" i="2"/>
  <c r="N27" i="2"/>
  <c r="L27" i="2"/>
  <c r="B29" i="2"/>
  <c r="B28" i="2"/>
  <c r="B27" i="2"/>
  <c r="B26" i="2"/>
  <c r="Q23" i="2"/>
  <c r="N23" i="2"/>
  <c r="L23" i="2"/>
  <c r="B25" i="2"/>
  <c r="B24" i="2"/>
  <c r="B23" i="2"/>
  <c r="B22" i="2"/>
  <c r="Q15" i="2"/>
  <c r="N15" i="2"/>
  <c r="L15" i="2"/>
  <c r="B21" i="2"/>
  <c r="B16" i="2"/>
  <c r="B15" i="2"/>
  <c r="B14" i="2"/>
  <c r="B11" i="2"/>
  <c r="R15" i="2" l="1"/>
  <c r="R23" i="2"/>
  <c r="R27" i="2"/>
  <c r="R31" i="2"/>
  <c r="R51" i="2"/>
  <c r="R75" i="2"/>
  <c r="R87" i="2"/>
  <c r="R91" i="2"/>
  <c r="R95" i="2"/>
  <c r="R111" i="2"/>
  <c r="R127" i="2"/>
  <c r="R131" i="2"/>
  <c r="R135" i="2"/>
  <c r="R145" i="2"/>
  <c r="R149" i="2"/>
  <c r="R153" i="2"/>
  <c r="R157" i="2"/>
  <c r="R161" i="2"/>
  <c r="R165" i="2"/>
  <c r="R169" i="2"/>
  <c r="R173" i="2"/>
  <c r="R177" i="2"/>
  <c r="R181" i="2"/>
  <c r="R187" i="2"/>
  <c r="R191" i="2"/>
  <c r="R195" i="2"/>
  <c r="R247" i="2"/>
  <c r="R251" i="2"/>
  <c r="R255" i="2"/>
  <c r="R259" i="2"/>
  <c r="R263" i="2"/>
  <c r="L11" i="2"/>
  <c r="R11" i="2" s="1"/>
  <c r="N11" i="2"/>
  <c r="Q11" i="2"/>
  <c r="B12" i="2"/>
  <c r="B13" i="2"/>
</calcChain>
</file>

<file path=xl/sharedStrings.xml><?xml version="1.0" encoding="utf-8"?>
<sst xmlns="http://schemas.openxmlformats.org/spreadsheetml/2006/main" count="604" uniqueCount="137">
  <si>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</si>
  <si>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</si>
  <si>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</si>
  <si>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</si>
  <si>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</si>
  <si>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</si>
  <si>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</si>
  <si>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</si>
  <si>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</si>
  <si>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</si>
  <si>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</si>
  <si>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</si>
  <si>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</si>
  <si>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</si>
  <si>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</si>
  <si>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</si>
  <si>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</si>
  <si>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</si>
  <si>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</si>
  <si>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</si>
  <si>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</si>
  <si>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</si>
  <si>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</si>
  <si>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</si>
  <si>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</si>
  <si>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</si>
  <si>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</si>
  <si>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</si>
  <si>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</si>
  <si>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</si>
  <si>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</si>
  <si>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</si>
  <si>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</si>
  <si>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</si>
  <si>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</si>
  <si>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</si>
  <si>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</si>
  <si>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</si>
  <si>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</si>
  <si>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</si>
  <si>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</si>
  <si>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</si>
  <si>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</si>
  <si>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</si>
  <si>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</si>
  <si>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</si>
  <si>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</si>
  <si>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</si>
  <si>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</si>
  <si>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</si>
  <si>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</si>
  <si>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</si>
  <si>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</si>
  <si>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</si>
  <si>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</si>
  <si>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</si>
  <si>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</si>
  <si>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</si>
  <si>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</si>
  <si>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</si>
  <si>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</si>
  <si>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</si>
  <si>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Juices</t>
  </si>
  <si>
    <t>030054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</si>
  <si>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</si>
  <si>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</si>
  <si>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</si>
  <si>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</si>
  <si>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</si>
  <si>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</si>
  <si>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Pastry Products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</si>
  <si>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</si>
  <si>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</si>
  <si>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</si>
  <si>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</si>
  <si>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</si>
  <si>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</si>
  <si>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</si>
  <si>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Protein - Non-Meat Products</t>
  </si>
  <si>
    <t>P490038</t>
  </si>
  <si>
    <t>Rice</t>
  </si>
  <si>
    <t>Sorted or Unsorted Salvage Products</t>
  </si>
  <si>
    <t>Snack Products</t>
  </si>
  <si>
    <t>P641009</t>
  </si>
  <si>
    <t>Soup Products</t>
  </si>
  <si>
    <t>Juice- Juice Assorted</t>
  </si>
  <si>
    <t>32-7 oz</t>
  </si>
  <si>
    <t>Personal-Health Surely Smooth Shampoo</t>
  </si>
  <si>
    <t>12/13 oz</t>
  </si>
  <si>
    <t>Personal-Health Medium Diapers</t>
  </si>
  <si>
    <t>4-50ct</t>
  </si>
  <si>
    <t>Protein - Refried Beans</t>
  </si>
  <si>
    <t>24-15 oz</t>
  </si>
  <si>
    <t>Snack - Trail Mix Nut and Chocolate</t>
  </si>
  <si>
    <t>72-2 oz</t>
  </si>
  <si>
    <t>CS</t>
  </si>
  <si>
    <t>0</t>
  </si>
  <si>
    <t>"Ceres4","TCP-LIVE","27","1","P400001"</t>
  </si>
  <si>
    <t>"Ceres4","TCP-LIVE","27","1","P490038"</t>
  </si>
  <si>
    <t>"Ceres4","TCP-LIVE","27","1","P641009"</t>
  </si>
  <si>
    <t>"Ceres4","TCP-LIVE","27","1","030054"</t>
  </si>
  <si>
    <t>"Ceres4","TCP-LIVE","27","1","P970001"</t>
  </si>
  <si>
    <t>Grain-based Products</t>
  </si>
  <si>
    <t>Household Paper &amp; Plastic Items</t>
  </si>
  <si>
    <t>P950036</t>
  </si>
  <si>
    <t>Household and Sanitation Products</t>
  </si>
  <si>
    <t>Household - Cutlery Forks</t>
  </si>
  <si>
    <t>24- 24 ct</t>
  </si>
  <si>
    <t>"Ceres4","TCP-LIVE","27","1","P950036"</t>
  </si>
  <si>
    <t>"Ceres4","TCP-LIVE","27","1","P970004"</t>
  </si>
  <si>
    <t>Fruit and Vegetable Products</t>
  </si>
  <si>
    <t>"Ceres4","TCP-LIVE","27","1","P300001"</t>
  </si>
  <si>
    <t>Dessert Products</t>
  </si>
  <si>
    <t>P580007</t>
  </si>
  <si>
    <t>Dressing Products</t>
  </si>
  <si>
    <t>Entrees and Main Dish Items</t>
  </si>
  <si>
    <t>Dessert - Carrot Cake</t>
  </si>
  <si>
    <t>1 - 96 oz sheet cake</t>
  </si>
  <si>
    <t>EA</t>
  </si>
  <si>
    <t>"Ceres4","TCP-LIVE","27","1","P580007"</t>
  </si>
  <si>
    <t>"Ceres4","TCP-LIVE","27","1","P250014"</t>
  </si>
  <si>
    <t>Dairy Products</t>
  </si>
  <si>
    <t>"Ceres4","TCP-LIVE","27","1","P150008"</t>
  </si>
  <si>
    <t>Condiment Products</t>
  </si>
  <si>
    <t>"Ceres4","TCP-LIVE","27","1","130044"</t>
  </si>
  <si>
    <t>Beverages</t>
  </si>
  <si>
    <t>Bread Products</t>
  </si>
  <si>
    <t>P520006</t>
  </si>
  <si>
    <t>Cereal and Breakfast Products</t>
  </si>
  <si>
    <t>Bakery-Corn Muffin Mix</t>
  </si>
  <si>
    <t>24-8 oz</t>
  </si>
  <si>
    <t>"Ceres4","TCP-LIVE","27","1","P520006"</t>
  </si>
  <si>
    <t>"Ceres4","TCP-LIVE","27","1","P070002"</t>
  </si>
  <si>
    <t>Baby Foods</t>
  </si>
  <si>
    <t>Bakery Products (needs Baking or used in Baking)</t>
  </si>
  <si>
    <t>"Ceres4","TCP-LIVE","27","1","P520024"</t>
  </si>
  <si>
    <t>Date:___8/12/19_____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</si>
</sst>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5"/>
  <sheetViews>
    <sheetView tabSelected="1" topLeftCell="E3" workbookViewId="0">
      <selection activeCell="C4" sqref="C4:R4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2.28515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6" t="s">
        <v>25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1" ht="23.25" x14ac:dyDescent="0.35">
      <c r="C4" s="15" t="s">
        <v>136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3"/>
      <c r="H6" s="14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3"/>
      <c r="H8" s="14"/>
      <c r="J8" s="3"/>
      <c r="R8" s="12"/>
    </row>
    <row r="9" spans="1:21" ht="46.5" customHeight="1" x14ac:dyDescent="0.25">
      <c r="E9" t="s">
        <v>6</v>
      </c>
      <c r="G9" s="4" t="s">
        <v>11</v>
      </c>
      <c r="H9" t="s">
        <v>1</v>
      </c>
      <c r="I9" s="4" t="s">
        <v>4</v>
      </c>
      <c r="J9" s="4" t="s">
        <v>12</v>
      </c>
      <c r="K9" s="4"/>
      <c r="L9" s="4"/>
      <c r="M9" s="4"/>
      <c r="N9" s="4"/>
      <c r="O9" s="4"/>
      <c r="P9" s="4"/>
      <c r="Q9" s="4"/>
      <c r="R9" s="4" t="s">
        <v>14</v>
      </c>
    </row>
    <row r="10" spans="1:21" ht="17.25" hidden="1" x14ac:dyDescent="0.3">
      <c r="B10" t="str">
        <f>IF($G11="","Hide","Show")</f>
        <v>Hide</v>
      </c>
      <c r="C10" t="s">
        <v>29</v>
      </c>
      <c r="D10" t="s">
        <v>30</v>
      </c>
      <c r="E10" s="9" t="s">
        <v>10</v>
      </c>
      <c r="F10" s="2"/>
      <c r="G10" s="8" t="s">
        <v>133</v>
      </c>
    </row>
    <row r="11" spans="1:21" hidden="1" x14ac:dyDescent="0.25">
      <c r="B11" t="str">
        <f>IF($G11="","Hide","Show")</f>
        <v>Hide</v>
      </c>
      <c r="E11" s="1"/>
      <c r="F11" t="s">
        <v>28</v>
      </c>
      <c r="G11" t="s">
        <v>28</v>
      </c>
      <c r="H11" t="s">
        <v>28</v>
      </c>
      <c r="I11" s="5" t="s">
        <v>28</v>
      </c>
      <c r="J11" s="5" t="s">
        <v>28</v>
      </c>
      <c r="K11" s="5" t="s">
        <v>96</v>
      </c>
      <c r="L11">
        <f>IFERROR(IF(K11*J11=0,"0",K11*J11),0)</f>
        <v>0</v>
      </c>
      <c r="M11" s="5" t="s">
        <v>28</v>
      </c>
      <c r="N11" t="e">
        <f>IF(M11*J11=0,"0",M11*J11)</f>
        <v>#VALUE!</v>
      </c>
      <c r="O11" s="5" t="s">
        <v>28</v>
      </c>
      <c r="P11" s="5" t="s">
        <v>28</v>
      </c>
      <c r="Q11" s="5" t="e">
        <f>P11*O11</f>
        <v>#VALUE!</v>
      </c>
      <c r="R11" s="6" t="str">
        <f>IFERROR(Q11+N11+L11,"")</f>
        <v/>
      </c>
    </row>
    <row r="12" spans="1:21" hidden="1" x14ac:dyDescent="0.25">
      <c r="B12" t="str">
        <f>IF($G11="","Hide","Show")</f>
        <v>Hide</v>
      </c>
      <c r="H12" t="s">
        <v>28</v>
      </c>
    </row>
    <row r="13" spans="1:21" hidden="1" x14ac:dyDescent="0.25">
      <c r="B13" t="str">
        <f>IF($G11="","Hide","Show")</f>
        <v>Hide</v>
      </c>
    </row>
    <row r="14" spans="1:21" ht="17.25" x14ac:dyDescent="0.3">
      <c r="A14" t="s">
        <v>27</v>
      </c>
      <c r="B14" t="str">
        <f t="shared" ref="B14" si="0">IF($G15="","Hide","Show")</f>
        <v>Show</v>
      </c>
      <c r="C14" t="str">
        <f>"""Ceres4"",""TCP-LIVE"",""14012281"",""1"",""BAKERY"""</f>
        <v>"Ceres4","TCP-LIVE","14012281","1","BAKERY"</v>
      </c>
      <c r="D14" t="s">
        <v>31</v>
      </c>
      <c r="E14" s="9" t="s">
        <v>10</v>
      </c>
      <c r="F14" s="2"/>
      <c r="G14" s="8" t="s">
        <v>134</v>
      </c>
    </row>
    <row r="15" spans="1:21" x14ac:dyDescent="0.25">
      <c r="A15" t="s">
        <v>27</v>
      </c>
      <c r="B15" t="str">
        <f t="shared" ref="B15:B19" si="1">IF($G15="","Hide","Show")</f>
        <v>Show</v>
      </c>
      <c r="E15" s="1"/>
      <c r="F15" t="s">
        <v>135</v>
      </c>
      <c r="G15" t="str">
        <f>"P520024"</f>
        <v>P520024</v>
      </c>
      <c r="H15" t="str">
        <f>"Baking- Biscuit Mix"</f>
        <v>Baking- Biscuit Mix</v>
      </c>
      <c r="I15" s="5" t="str">
        <f>"CS"</f>
        <v>CS</v>
      </c>
      <c r="J15" s="5">
        <v>12</v>
      </c>
      <c r="K15" s="5">
        <v>0</v>
      </c>
      <c r="L15" t="str">
        <f t="shared" ref="L15" si="2">IFERROR(IF(K15*J15=0,"0",K15*J15),0)</f>
        <v>0</v>
      </c>
      <c r="M15" s="5">
        <v>0</v>
      </c>
      <c r="N15" t="str">
        <f t="shared" ref="N15" si="3">IF(M15*J15=0,"0",M15*J15)</f>
        <v>0</v>
      </c>
      <c r="O15" s="5">
        <v>1.2</v>
      </c>
      <c r="P15" s="5">
        <v>10.73</v>
      </c>
      <c r="Q15" s="5">
        <f t="shared" ref="Q15" si="4">P15*O15</f>
        <v>12.875999999999999</v>
      </c>
      <c r="R15" s="6">
        <f t="shared" ref="R15" si="5">IFERROR(Q15+N15+L15,"")</f>
        <v>12.875999999999999</v>
      </c>
    </row>
    <row r="16" spans="1:21" x14ac:dyDescent="0.25">
      <c r="A16" t="s">
        <v>27</v>
      </c>
      <c r="B16" t="str">
        <f t="shared" ref="B16" si="6">IF($G15="","Hide","Show")</f>
        <v>Show</v>
      </c>
      <c r="H16" t="str">
        <f>"12-16 oz"</f>
        <v>12-16 oz</v>
      </c>
    </row>
    <row r="17" spans="1:18" x14ac:dyDescent="0.25">
      <c r="A17" t="s">
        <v>27</v>
      </c>
      <c r="B17" t="str">
        <f t="shared" si="1"/>
        <v>Show</v>
      </c>
      <c r="E17" s="1"/>
      <c r="F17" t="str">
        <f>"""Ceres4"",""TCP-LIVE"",""27"",""1"",""P520029"""</f>
        <v>"Ceres4","TCP-LIVE","27","1","P520029"</v>
      </c>
      <c r="G17" t="str">
        <f>"P520029"</f>
        <v>P520029</v>
      </c>
      <c r="H17" t="str">
        <f>"Bakery - Oatmeal Raisin Cookie Dough"</f>
        <v>Bakery - Oatmeal Raisin Cookie Dough</v>
      </c>
      <c r="I17" s="5" t="str">
        <f>"CS"</f>
        <v>CS</v>
      </c>
      <c r="J17" s="5">
        <v>20</v>
      </c>
      <c r="K17" s="5">
        <v>0</v>
      </c>
      <c r="L17" t="str">
        <f t="shared" ref="L17" si="7">IFERROR(IF(K17*J17=0,"0",K17*J17),0)</f>
        <v>0</v>
      </c>
      <c r="M17" s="5">
        <v>0</v>
      </c>
      <c r="N17" t="str">
        <f t="shared" ref="N17" si="8">IF(M17*J17=0,"0",M17*J17)</f>
        <v>0</v>
      </c>
      <c r="O17" s="5">
        <v>1.1000000000000001</v>
      </c>
      <c r="P17" s="5">
        <v>57.12</v>
      </c>
      <c r="Q17" s="5">
        <f t="shared" ref="Q17" si="9">P17*O17</f>
        <v>62.832000000000001</v>
      </c>
      <c r="R17" s="6">
        <f t="shared" ref="R17" si="10">IFERROR(Q17+N17+L17,"")</f>
        <v>62.832000000000001</v>
      </c>
    </row>
    <row r="18" spans="1:18" x14ac:dyDescent="0.25">
      <c r="A18" t="s">
        <v>27</v>
      </c>
      <c r="B18" t="str">
        <f t="shared" ref="B18" si="11">IF($G17="","Hide","Show")</f>
        <v>Show</v>
      </c>
      <c r="H18" t="str">
        <f>"320-1 oz"</f>
        <v>320-1 oz</v>
      </c>
    </row>
    <row r="19" spans="1:18" x14ac:dyDescent="0.25">
      <c r="A19" t="s">
        <v>27</v>
      </c>
      <c r="B19" t="str">
        <f t="shared" si="1"/>
        <v>Show</v>
      </c>
      <c r="E19" s="1"/>
      <c r="F19" t="str">
        <f>"""Ceres4"",""TCP-LIVE"",""27"",""1"",""P520030"""</f>
        <v>"Ceres4","TCP-LIVE","27","1","P520030"</v>
      </c>
      <c r="G19" t="str">
        <f>"P520030"</f>
        <v>P520030</v>
      </c>
      <c r="H19" t="str">
        <f>"Bakery - Chocolate Chip Cookie Dough"</f>
        <v>Bakery - Chocolate Chip Cookie Dough</v>
      </c>
      <c r="I19" s="5" t="str">
        <f>"CS"</f>
        <v>CS</v>
      </c>
      <c r="J19" s="5">
        <v>20</v>
      </c>
      <c r="K19" s="5">
        <v>0</v>
      </c>
      <c r="L19" t="str">
        <f t="shared" ref="L19" si="12">IFERROR(IF(K19*J19=0,"0",K19*J19),0)</f>
        <v>0</v>
      </c>
      <c r="M19" s="5">
        <v>0</v>
      </c>
      <c r="N19" t="str">
        <f t="shared" ref="N19" si="13">IF(M19*J19=0,"0",M19*J19)</f>
        <v>0</v>
      </c>
      <c r="O19" s="5">
        <v>1.1000000000000001</v>
      </c>
      <c r="P19" s="5">
        <v>50.65</v>
      </c>
      <c r="Q19" s="5">
        <f t="shared" ref="Q19" si="14">P19*O19</f>
        <v>55.715000000000003</v>
      </c>
      <c r="R19" s="6">
        <f t="shared" ref="R19" si="15">IFERROR(Q19+N19+L19,"")</f>
        <v>55.715000000000003</v>
      </c>
    </row>
    <row r="20" spans="1:18" x14ac:dyDescent="0.25">
      <c r="A20" t="s">
        <v>27</v>
      </c>
      <c r="B20" t="str">
        <f t="shared" ref="B20" si="16">IF($G19="","Hide","Show")</f>
        <v>Show</v>
      </c>
      <c r="H20" t="str">
        <f>"320-1 oz"</f>
        <v>320-1 oz</v>
      </c>
    </row>
    <row r="21" spans="1:18" x14ac:dyDescent="0.25">
      <c r="A21" t="s">
        <v>27</v>
      </c>
      <c r="B21" t="str">
        <f t="shared" ref="B21" si="17">IF($G15="","Hide","Show")</f>
        <v>Show</v>
      </c>
    </row>
    <row r="22" spans="1:18" ht="17.25" hidden="1" x14ac:dyDescent="0.3">
      <c r="A22" t="s">
        <v>27</v>
      </c>
      <c r="B22" t="str">
        <f t="shared" ref="B22" si="18">IF($G23="","Hide","Show")</f>
        <v>Hide</v>
      </c>
      <c r="C22" t="str">
        <f>"""Ceres4"",""TCP-LIVE"",""14012281"",""1"",""BEVERAGE"""</f>
        <v>"Ceres4","TCP-LIVE","14012281","1","BEVERAGE"</v>
      </c>
      <c r="D22" t="s">
        <v>32</v>
      </c>
      <c r="E22" s="9" t="s">
        <v>10</v>
      </c>
      <c r="F22" s="2"/>
      <c r="G22" s="8" t="s">
        <v>125</v>
      </c>
    </row>
    <row r="23" spans="1:18" hidden="1" x14ac:dyDescent="0.25">
      <c r="A23" t="s">
        <v>27</v>
      </c>
      <c r="B23" t="str">
        <f t="shared" ref="B23" si="19">IF($G23="","Hide","Show")</f>
        <v>Hide</v>
      </c>
      <c r="E23" s="1"/>
      <c r="F23" t="s">
        <v>28</v>
      </c>
      <c r="G23" t="s">
        <v>28</v>
      </c>
      <c r="H23" t="s">
        <v>28</v>
      </c>
      <c r="I23" s="5" t="s">
        <v>28</v>
      </c>
      <c r="J23" s="5" t="s">
        <v>28</v>
      </c>
      <c r="K23" s="5" t="s">
        <v>96</v>
      </c>
      <c r="L23">
        <f t="shared" ref="L23" si="20">IFERROR(IF(K23*J23=0,"0",K23*J23),0)</f>
        <v>0</v>
      </c>
      <c r="M23" s="5" t="s">
        <v>28</v>
      </c>
      <c r="N23" t="e">
        <f t="shared" ref="N23" si="21">IF(M23*J23=0,"0",M23*J23)</f>
        <v>#VALUE!</v>
      </c>
      <c r="O23" s="5" t="s">
        <v>28</v>
      </c>
      <c r="P23" s="5" t="s">
        <v>28</v>
      </c>
      <c r="Q23" s="5" t="e">
        <f t="shared" ref="Q23" si="22">P23*O23</f>
        <v>#VALUE!</v>
      </c>
      <c r="R23" s="6" t="str">
        <f t="shared" ref="R23" si="23">IFERROR(Q23+N23+L23,"")</f>
        <v/>
      </c>
    </row>
    <row r="24" spans="1:18" hidden="1" x14ac:dyDescent="0.25">
      <c r="A24" t="s">
        <v>27</v>
      </c>
      <c r="B24" t="str">
        <f t="shared" ref="B24" si="24">IF($G23="","Hide","Show")</f>
        <v>Hide</v>
      </c>
      <c r="H24" t="s">
        <v>28</v>
      </c>
    </row>
    <row r="25" spans="1:18" hidden="1" x14ac:dyDescent="0.25">
      <c r="A25" t="s">
        <v>27</v>
      </c>
      <c r="B25" t="str">
        <f t="shared" ref="B25" si="25">IF($G23="","Hide","Show")</f>
        <v>Hide</v>
      </c>
    </row>
    <row r="26" spans="1:18" ht="17.25" x14ac:dyDescent="0.3">
      <c r="A26" t="s">
        <v>27</v>
      </c>
      <c r="B26" t="str">
        <f t="shared" ref="B26" si="26">IF($G27="","Hide","Show")</f>
        <v>Show</v>
      </c>
      <c r="C26" t="str">
        <f>"""Ceres4"",""TCP-LIVE"",""14012281"",""1"",""BREAD"""</f>
        <v>"Ceres4","TCP-LIVE","14012281","1","BREAD"</v>
      </c>
      <c r="D26" t="s">
        <v>33</v>
      </c>
      <c r="E26" s="9" t="s">
        <v>10</v>
      </c>
      <c r="F26" s="2"/>
      <c r="G26" s="8" t="s">
        <v>126</v>
      </c>
    </row>
    <row r="27" spans="1:18" x14ac:dyDescent="0.25">
      <c r="A27" t="s">
        <v>27</v>
      </c>
      <c r="B27" t="str">
        <f t="shared" ref="B27" si="27">IF($G27="","Hide","Show")</f>
        <v>Show</v>
      </c>
      <c r="E27" s="1"/>
      <c r="F27" t="s">
        <v>131</v>
      </c>
      <c r="G27" t="s">
        <v>127</v>
      </c>
      <c r="H27" t="s">
        <v>129</v>
      </c>
      <c r="I27" s="5" t="s">
        <v>95</v>
      </c>
      <c r="J27" s="5">
        <v>15</v>
      </c>
      <c r="K27" s="5">
        <v>0</v>
      </c>
      <c r="L27" t="str">
        <f t="shared" ref="L27" si="28">IFERROR(IF(K27*J27=0,"0",K27*J27),0)</f>
        <v>0</v>
      </c>
      <c r="M27" s="5">
        <v>0</v>
      </c>
      <c r="N27" t="str">
        <f t="shared" ref="N27" si="29">IF(M27*J27=0,"0",M27*J27)</f>
        <v>0</v>
      </c>
      <c r="O27" s="5">
        <v>1.2</v>
      </c>
      <c r="P27" s="5">
        <v>11.86</v>
      </c>
      <c r="Q27" s="5">
        <f t="shared" ref="Q27" si="30">P27*O27</f>
        <v>14.231999999999999</v>
      </c>
      <c r="R27" s="6">
        <f t="shared" ref="R27" si="31">IFERROR(Q27+N27+L27,"")</f>
        <v>14.231999999999999</v>
      </c>
    </row>
    <row r="28" spans="1:18" x14ac:dyDescent="0.25">
      <c r="A28" t="s">
        <v>27</v>
      </c>
      <c r="B28" t="str">
        <f t="shared" ref="B28" si="32">IF($G27="","Hide","Show")</f>
        <v>Show</v>
      </c>
      <c r="H28" t="s">
        <v>130</v>
      </c>
    </row>
    <row r="29" spans="1:18" x14ac:dyDescent="0.25">
      <c r="A29" t="s">
        <v>27</v>
      </c>
      <c r="B29" t="str">
        <f t="shared" ref="B29" si="33">IF($G27="","Hide","Show")</f>
        <v>Show</v>
      </c>
    </row>
    <row r="30" spans="1:18" ht="17.25" x14ac:dyDescent="0.3">
      <c r="A30" t="s">
        <v>27</v>
      </c>
      <c r="B30" t="str">
        <f t="shared" ref="B30" si="34">IF($G31="","Hide","Show")</f>
        <v>Show</v>
      </c>
      <c r="C30" t="str">
        <f>"""Ceres4"",""TCP-LIVE"",""14012281"",""1"",""CEREAL/BRK"""</f>
        <v>"Ceres4","TCP-LIVE","14012281","1","CEREAL/BRK"</v>
      </c>
      <c r="D30" t="s">
        <v>34</v>
      </c>
      <c r="E30" s="9" t="s">
        <v>10</v>
      </c>
      <c r="F30" s="2"/>
      <c r="G30" s="8" t="s">
        <v>128</v>
      </c>
    </row>
    <row r="31" spans="1:18" x14ac:dyDescent="0.25">
      <c r="A31" t="s">
        <v>27</v>
      </c>
      <c r="B31" t="str">
        <f t="shared" ref="B31:B47" si="35">IF($G31="","Hide","Show")</f>
        <v>Show</v>
      </c>
      <c r="E31" s="1"/>
      <c r="F31" t="s">
        <v>132</v>
      </c>
      <c r="G31" t="str">
        <f>"P070002"</f>
        <v>P070002</v>
      </c>
      <c r="H31" t="str">
        <f>"Breakfast - Quick Oatmeal"</f>
        <v>Breakfast - Quick Oatmeal</v>
      </c>
      <c r="I31" s="5" t="str">
        <f>"CS"</f>
        <v>CS</v>
      </c>
      <c r="J31" s="5">
        <v>11</v>
      </c>
      <c r="K31" s="5">
        <v>0</v>
      </c>
      <c r="L31" t="str">
        <f t="shared" ref="L31" si="36">IFERROR(IF(K31*J31=0,"0",K31*J31),0)</f>
        <v>0</v>
      </c>
      <c r="M31" s="5">
        <v>0</v>
      </c>
      <c r="N31" t="str">
        <f t="shared" ref="N31" si="37">IF(M31*J31=0,"0",M31*J31)</f>
        <v>0</v>
      </c>
      <c r="O31" s="5">
        <v>1.2</v>
      </c>
      <c r="P31" s="5">
        <v>13.73</v>
      </c>
      <c r="Q31" s="5">
        <f t="shared" ref="Q31" si="38">P31*O31</f>
        <v>16.475999999999999</v>
      </c>
      <c r="R31" s="6">
        <f t="shared" ref="R31" si="39">IFERROR(Q31+N31+L31,"")</f>
        <v>16.475999999999999</v>
      </c>
    </row>
    <row r="32" spans="1:18" x14ac:dyDescent="0.25">
      <c r="A32" t="s">
        <v>27</v>
      </c>
      <c r="B32" t="str">
        <f t="shared" ref="B32" si="40">IF($G31="","Hide","Show")</f>
        <v>Show</v>
      </c>
      <c r="H32" t="str">
        <f>"12-14 oz"</f>
        <v>12-14 oz</v>
      </c>
    </row>
    <row r="33" spans="1:18" x14ac:dyDescent="0.25">
      <c r="A33" t="s">
        <v>27</v>
      </c>
      <c r="B33" t="str">
        <f t="shared" si="35"/>
        <v>Show</v>
      </c>
      <c r="E33" s="1"/>
      <c r="F33" t="str">
        <f>"""Ceres4"",""TCP-LIVE"",""27"",""1"",""P070007"""</f>
        <v>"Ceres4","TCP-LIVE","27","1","P070007"</v>
      </c>
      <c r="G33" t="str">
        <f>"P070007"</f>
        <v>P070007</v>
      </c>
      <c r="H33" t="str">
        <f>"Breakfast - Pancake Mix"</f>
        <v>Breakfast - Pancake Mix</v>
      </c>
      <c r="I33" s="5" t="str">
        <f>"CS"</f>
        <v>CS</v>
      </c>
      <c r="J33" s="5">
        <v>19</v>
      </c>
      <c r="K33" s="5">
        <v>0</v>
      </c>
      <c r="L33" t="str">
        <f t="shared" ref="L33" si="41">IFERROR(IF(K33*J33=0,"0",K33*J33),0)</f>
        <v>0</v>
      </c>
      <c r="M33" s="5">
        <v>0</v>
      </c>
      <c r="N33" t="str">
        <f t="shared" ref="N33" si="42">IF(M33*J33=0,"0",M33*J33)</f>
        <v>0</v>
      </c>
      <c r="O33" s="5">
        <v>1.1000000000000001</v>
      </c>
      <c r="P33" s="5">
        <v>15.99</v>
      </c>
      <c r="Q33" s="5">
        <f t="shared" ref="Q33" si="43">P33*O33</f>
        <v>17.589000000000002</v>
      </c>
      <c r="R33" s="6">
        <f t="shared" ref="R33" si="44">IFERROR(Q33+N33+L33,"")</f>
        <v>17.589000000000002</v>
      </c>
    </row>
    <row r="34" spans="1:18" x14ac:dyDescent="0.25">
      <c r="A34" t="s">
        <v>27</v>
      </c>
      <c r="B34" t="str">
        <f t="shared" ref="B34" si="45">IF($G33="","Hide","Show")</f>
        <v>Show</v>
      </c>
      <c r="H34" t="str">
        <f>"18-1.1 lb"</f>
        <v>18-1.1 lb</v>
      </c>
    </row>
    <row r="35" spans="1:18" x14ac:dyDescent="0.25">
      <c r="A35" t="s">
        <v>27</v>
      </c>
      <c r="B35" t="str">
        <f t="shared" si="35"/>
        <v>Show</v>
      </c>
      <c r="E35" s="1"/>
      <c r="F35" t="str">
        <f>"""Ceres4"",""TCP-LIVE"",""27"",""1"",""P070009"""</f>
        <v>"Ceres4","TCP-LIVE","27","1","P070009"</v>
      </c>
      <c r="G35" t="str">
        <f>"P070009"</f>
        <v>P070009</v>
      </c>
      <c r="H35" t="str">
        <f>"Breakfast - Whole Wheat Pancakes"</f>
        <v>Breakfast - Whole Wheat Pancakes</v>
      </c>
      <c r="I35" s="5" t="str">
        <f>"EA"</f>
        <v>EA</v>
      </c>
      <c r="J35" s="5">
        <v>1</v>
      </c>
      <c r="K35" s="5">
        <v>0</v>
      </c>
      <c r="L35" t="str">
        <f t="shared" ref="L35" si="46">IFERROR(IF(K35*J35=0,"0",K35*J35),0)</f>
        <v>0</v>
      </c>
      <c r="M35" s="5">
        <v>0</v>
      </c>
      <c r="N35" t="str">
        <f t="shared" ref="N35" si="47">IF(M35*J35=0,"0",M35*J35)</f>
        <v>0</v>
      </c>
      <c r="O35" s="5">
        <v>1.1499999999999999</v>
      </c>
      <c r="P35" s="5">
        <v>2.375</v>
      </c>
      <c r="Q35" s="5">
        <f t="shared" ref="Q35" si="48">P35*O35</f>
        <v>2.7312499999999997</v>
      </c>
      <c r="R35" s="6">
        <f t="shared" ref="R35" si="49">IFERROR(Q35+N35+L35,"")</f>
        <v>2.7312499999999997</v>
      </c>
    </row>
    <row r="36" spans="1:18" x14ac:dyDescent="0.25">
      <c r="A36" t="s">
        <v>27</v>
      </c>
      <c r="B36" t="str">
        <f t="shared" ref="B36" si="50">IF($G35="","Hide","Show")</f>
        <v>Show</v>
      </c>
      <c r="H36" t="str">
        <f>"1pk - 12 sm cakes"</f>
        <v>1pk - 12 sm cakes</v>
      </c>
    </row>
    <row r="37" spans="1:18" x14ac:dyDescent="0.25">
      <c r="A37" t="s">
        <v>27</v>
      </c>
      <c r="B37" t="str">
        <f t="shared" si="35"/>
        <v>Show</v>
      </c>
      <c r="E37" s="1"/>
      <c r="F37" t="str">
        <f>"""Ceres4"",""TCP-LIVE"",""27"",""1"",""P070010"""</f>
        <v>"Ceres4","TCP-LIVE","27","1","P070010"</v>
      </c>
      <c r="G37" t="str">
        <f>"P070010"</f>
        <v>P070010</v>
      </c>
      <c r="H37" t="str">
        <f>"Breakfast-Pancake Mix"</f>
        <v>Breakfast-Pancake Mix</v>
      </c>
      <c r="I37" s="5" t="str">
        <f>"CS"</f>
        <v>CS</v>
      </c>
      <c r="J37" s="5">
        <v>14</v>
      </c>
      <c r="K37" s="5">
        <v>0</v>
      </c>
      <c r="L37" t="str">
        <f t="shared" ref="L37" si="51">IFERROR(IF(K37*J37=0,"0",K37*J37),0)</f>
        <v>0</v>
      </c>
      <c r="M37" s="5">
        <v>0</v>
      </c>
      <c r="N37" t="str">
        <f t="shared" ref="N37" si="52">IF(M37*J37=0,"0",M37*J37)</f>
        <v>0</v>
      </c>
      <c r="O37" s="5">
        <v>1.2</v>
      </c>
      <c r="P37" s="5">
        <v>10.73</v>
      </c>
      <c r="Q37" s="5">
        <f t="shared" ref="Q37" si="53">P37*O37</f>
        <v>12.875999999999999</v>
      </c>
      <c r="R37" s="6">
        <f t="shared" ref="R37" si="54">IFERROR(Q37+N37+L37,"")</f>
        <v>12.875999999999999</v>
      </c>
    </row>
    <row r="38" spans="1:18" x14ac:dyDescent="0.25">
      <c r="A38" t="s">
        <v>27</v>
      </c>
      <c r="B38" t="str">
        <f t="shared" ref="B38" si="55">IF($G37="","Hide","Show")</f>
        <v>Show</v>
      </c>
      <c r="H38" t="str">
        <f>"12-17 oz"</f>
        <v>12-17 oz</v>
      </c>
    </row>
    <row r="39" spans="1:18" x14ac:dyDescent="0.25">
      <c r="A39" t="s">
        <v>27</v>
      </c>
      <c r="B39" t="str">
        <f t="shared" si="35"/>
        <v>Show</v>
      </c>
      <c r="E39" s="1"/>
      <c r="F39" t="str">
        <f>"""Ceres4"",""TCP-LIVE"",""27"",""1"",""P070012"""</f>
        <v>"Ceres4","TCP-LIVE","27","1","P070012"</v>
      </c>
      <c r="G39" t="str">
        <f>"P070012"</f>
        <v>P070012</v>
      </c>
      <c r="H39" t="str">
        <f>"Breakfast - Waffles"</f>
        <v>Breakfast - Waffles</v>
      </c>
      <c r="I39" s="5" t="str">
        <f>"BAG"</f>
        <v>BAG</v>
      </c>
      <c r="J39" s="5">
        <v>2</v>
      </c>
      <c r="K39" s="5">
        <v>0</v>
      </c>
      <c r="L39" t="str">
        <f t="shared" ref="L39" si="56">IFERROR(IF(K39*J39=0,"0",K39*J39),0)</f>
        <v>0</v>
      </c>
      <c r="M39" s="5">
        <v>0</v>
      </c>
      <c r="N39" t="str">
        <f t="shared" ref="N39" si="57">IF(M39*J39=0,"0",M39*J39)</f>
        <v>0</v>
      </c>
      <c r="O39" s="5">
        <v>1.1000000000000001</v>
      </c>
      <c r="P39" s="5">
        <v>2.5026299999999999</v>
      </c>
      <c r="Q39" s="5">
        <f t="shared" ref="Q39" si="58">P39*O39</f>
        <v>2.7528930000000003</v>
      </c>
      <c r="R39" s="6">
        <f t="shared" ref="R39" si="59">IFERROR(Q39+N39+L39,"")</f>
        <v>2.7528930000000003</v>
      </c>
    </row>
    <row r="40" spans="1:18" x14ac:dyDescent="0.25">
      <c r="A40" t="s">
        <v>27</v>
      </c>
      <c r="B40" t="str">
        <f t="shared" ref="B40" si="60">IF($G39="","Hide","Show")</f>
        <v>Show</v>
      </c>
      <c r="H40" t="str">
        <f>"12 - 2 oz   repack item"</f>
        <v>12 - 2 oz   repack item</v>
      </c>
    </row>
    <row r="41" spans="1:18" x14ac:dyDescent="0.25">
      <c r="A41" t="s">
        <v>27</v>
      </c>
      <c r="B41" t="str">
        <f t="shared" si="35"/>
        <v>Show</v>
      </c>
      <c r="E41" s="1"/>
      <c r="F41" t="str">
        <f>"""Ceres4"",""TCP-LIVE"",""27"",""1"",""P070014"""</f>
        <v>"Ceres4","TCP-LIVE","27","1","P070014"</v>
      </c>
      <c r="G41" t="str">
        <f>"P070014"</f>
        <v>P070014</v>
      </c>
      <c r="H41" t="str">
        <f>"Breakfast - French Toast "</f>
        <v xml:space="preserve">Breakfast - French Toast </v>
      </c>
      <c r="I41" s="5" t="str">
        <f>"EA"</f>
        <v>EA</v>
      </c>
      <c r="J41" s="5">
        <v>1</v>
      </c>
      <c r="K41" s="5">
        <v>0</v>
      </c>
      <c r="L41" t="str">
        <f t="shared" ref="L41" si="61">IFERROR(IF(K41*J41=0,"0",K41*J41),0)</f>
        <v>0</v>
      </c>
      <c r="M41" s="5">
        <v>0</v>
      </c>
      <c r="N41" t="str">
        <f t="shared" ref="N41" si="62">IF(M41*J41=0,"0",M41*J41)</f>
        <v>0</v>
      </c>
      <c r="O41" s="5">
        <v>1.2</v>
      </c>
      <c r="P41" s="5">
        <v>5.0975999999999999</v>
      </c>
      <c r="Q41" s="5">
        <f t="shared" ref="Q41" si="63">P41*O41</f>
        <v>6.1171199999999999</v>
      </c>
      <c r="R41" s="6">
        <f t="shared" ref="R41" si="64">IFERROR(Q41+N41+L41,"")</f>
        <v>6.1171199999999999</v>
      </c>
    </row>
    <row r="42" spans="1:18" x14ac:dyDescent="0.25">
      <c r="A42" t="s">
        <v>27</v>
      </c>
      <c r="B42" t="str">
        <f t="shared" ref="B42" si="65">IF($G41="","Hide","Show")</f>
        <v>Show</v>
      </c>
      <c r="H42" t="str">
        <f>"1 pk of 12"</f>
        <v>1 pk of 12</v>
      </c>
    </row>
    <row r="43" spans="1:18" x14ac:dyDescent="0.25">
      <c r="A43" t="s">
        <v>27</v>
      </c>
      <c r="B43" t="str">
        <f t="shared" si="35"/>
        <v>Show</v>
      </c>
      <c r="E43" s="1"/>
      <c r="F43" t="str">
        <f>"""Ceres4"",""TCP-LIVE"",""27"",""1"",""P070023"""</f>
        <v>"Ceres4","TCP-LIVE","27","1","P070023"</v>
      </c>
      <c r="G43" t="str">
        <f>"P070023"</f>
        <v>P070023</v>
      </c>
      <c r="H43" t="str">
        <f>"Breakfast - Pancake with blueberry glaze"</f>
        <v>Breakfast - Pancake with blueberry glaze</v>
      </c>
      <c r="I43" s="5" t="str">
        <f>"CS"</f>
        <v>CS</v>
      </c>
      <c r="J43" s="5">
        <v>15</v>
      </c>
      <c r="K43" s="5">
        <v>0</v>
      </c>
      <c r="L43" t="str">
        <f t="shared" ref="L43" si="66">IFERROR(IF(K43*J43=0,"0",K43*J43),0)</f>
        <v>0</v>
      </c>
      <c r="M43" s="5">
        <v>0</v>
      </c>
      <c r="N43" t="str">
        <f t="shared" ref="N43" si="67">IF(M43*J43=0,"0",M43*J43)</f>
        <v>0</v>
      </c>
      <c r="O43" s="5">
        <v>1.1000000000000001</v>
      </c>
      <c r="P43" s="5">
        <v>44.48</v>
      </c>
      <c r="Q43" s="5">
        <f t="shared" ref="Q43" si="68">P43*O43</f>
        <v>48.927999999999997</v>
      </c>
      <c r="R43" s="6">
        <f t="shared" ref="R43" si="69">IFERROR(Q43+N43+L43,"")</f>
        <v>48.927999999999997</v>
      </c>
    </row>
    <row r="44" spans="1:18" x14ac:dyDescent="0.25">
      <c r="A44" t="s">
        <v>27</v>
      </c>
      <c r="B44" t="str">
        <f t="shared" ref="B44" si="70">IF($G43="","Hide","Show")</f>
        <v>Show</v>
      </c>
      <c r="H44" t="str">
        <f>"80-3 oz"</f>
        <v>80-3 oz</v>
      </c>
    </row>
    <row r="45" spans="1:18" x14ac:dyDescent="0.25">
      <c r="A45" t="s">
        <v>27</v>
      </c>
      <c r="B45" t="str">
        <f t="shared" si="35"/>
        <v>Show</v>
      </c>
      <c r="E45" s="1"/>
      <c r="F45" t="str">
        <f>"""Ceres4"",""TCP-LIVE"",""27"",""1"",""P070024"""</f>
        <v>"Ceres4","TCP-LIVE","27","1","P070024"</v>
      </c>
      <c r="G45" t="str">
        <f>"P070024"</f>
        <v>P070024</v>
      </c>
      <c r="H45" t="str">
        <f>"Breakfast - Hashbrowns rounds"</f>
        <v>Breakfast - Hashbrowns rounds</v>
      </c>
      <c r="I45" s="5" t="str">
        <f>"CS"</f>
        <v>CS</v>
      </c>
      <c r="J45" s="5">
        <v>30</v>
      </c>
      <c r="K45" s="5">
        <v>0</v>
      </c>
      <c r="L45" t="str">
        <f t="shared" ref="L45" si="71">IFERROR(IF(K45*J45=0,"0",K45*J45),0)</f>
        <v>0</v>
      </c>
      <c r="M45" s="5">
        <v>0</v>
      </c>
      <c r="N45" t="str">
        <f t="shared" ref="N45" si="72">IF(M45*J45=0,"0",M45*J45)</f>
        <v>0</v>
      </c>
      <c r="O45" s="5">
        <v>1.1000000000000001</v>
      </c>
      <c r="P45" s="5">
        <v>44.69</v>
      </c>
      <c r="Q45" s="5">
        <f t="shared" ref="Q45" si="73">P45*O45</f>
        <v>49.158999999999999</v>
      </c>
      <c r="R45" s="6">
        <f t="shared" ref="R45" si="74">IFERROR(Q45+N45+L45,"")</f>
        <v>49.158999999999999</v>
      </c>
    </row>
    <row r="46" spans="1:18" x14ac:dyDescent="0.25">
      <c r="A46" t="s">
        <v>27</v>
      </c>
      <c r="B46" t="str">
        <f t="shared" ref="B46" si="75">IF($G45="","Hide","Show")</f>
        <v>Show</v>
      </c>
      <c r="H46" t="str">
        <f>"6-5 lb"</f>
        <v>6-5 lb</v>
      </c>
    </row>
    <row r="47" spans="1:18" x14ac:dyDescent="0.25">
      <c r="A47" t="s">
        <v>27</v>
      </c>
      <c r="B47" t="str">
        <f t="shared" si="35"/>
        <v>Show</v>
      </c>
      <c r="E47" s="1"/>
      <c r="F47" t="str">
        <f>"""Ceres4"",""TCP-LIVE"",""27"",""1"",""P070028"""</f>
        <v>"Ceres4","TCP-LIVE","27","1","P070028"</v>
      </c>
      <c r="G47" t="str">
        <f>"P070028"</f>
        <v>P070028</v>
      </c>
      <c r="H47" t="str">
        <f>"Cereal- Assorted Cereal Bowls"</f>
        <v>Cereal- Assorted Cereal Bowls</v>
      </c>
      <c r="I47" s="5" t="str">
        <f>"CS"</f>
        <v>CS</v>
      </c>
      <c r="J47" s="5">
        <v>6</v>
      </c>
      <c r="K47" s="5">
        <v>0</v>
      </c>
      <c r="L47" t="str">
        <f t="shared" ref="L47" si="76">IFERROR(IF(K47*J47=0,"0",K47*J47),0)</f>
        <v>0</v>
      </c>
      <c r="M47" s="5">
        <v>0</v>
      </c>
      <c r="N47" t="str">
        <f t="shared" ref="N47" si="77">IF(M47*J47=0,"0",M47*J47)</f>
        <v>0</v>
      </c>
      <c r="O47" s="5">
        <v>1.1000000000000001</v>
      </c>
      <c r="P47" s="5">
        <v>47.27</v>
      </c>
      <c r="Q47" s="5">
        <f t="shared" ref="Q47" si="78">P47*O47</f>
        <v>51.997000000000007</v>
      </c>
      <c r="R47" s="6">
        <f t="shared" ref="R47" si="79">IFERROR(Q47+N47+L47,"")</f>
        <v>51.997000000000007</v>
      </c>
    </row>
    <row r="48" spans="1:18" x14ac:dyDescent="0.25">
      <c r="A48" t="s">
        <v>27</v>
      </c>
      <c r="B48" t="str">
        <f t="shared" ref="B48" si="80">IF($G47="","Hide","Show")</f>
        <v>Show</v>
      </c>
      <c r="H48" t="str">
        <f>"96-1 oz"</f>
        <v>96-1 oz</v>
      </c>
    </row>
    <row r="49" spans="1:18" x14ac:dyDescent="0.25">
      <c r="A49" t="s">
        <v>27</v>
      </c>
      <c r="B49" t="str">
        <f t="shared" ref="B49" si="81">IF($G31="","Hide","Show")</f>
        <v>Show</v>
      </c>
    </row>
    <row r="50" spans="1:18" ht="17.25" x14ac:dyDescent="0.3">
      <c r="A50" t="s">
        <v>27</v>
      </c>
      <c r="B50" t="str">
        <f t="shared" ref="B50" si="82">IF($G51="","Hide","Show")</f>
        <v>Show</v>
      </c>
      <c r="C50" t="str">
        <f>"""Ceres4"",""TCP-LIVE"",""14012281"",""1"",""CONDIMENT"""</f>
        <v>"Ceres4","TCP-LIVE","14012281","1","CONDIMENT"</v>
      </c>
      <c r="D50" t="s">
        <v>35</v>
      </c>
      <c r="E50" s="9" t="s">
        <v>10</v>
      </c>
      <c r="F50" s="2"/>
      <c r="G50" s="8" t="s">
        <v>123</v>
      </c>
    </row>
    <row r="51" spans="1:18" x14ac:dyDescent="0.25">
      <c r="A51" t="s">
        <v>27</v>
      </c>
      <c r="B51" t="str">
        <f t="shared" ref="B51:B71" si="83">IF($G51="","Hide","Show")</f>
        <v>Show</v>
      </c>
      <c r="E51" s="1"/>
      <c r="F51" t="s">
        <v>124</v>
      </c>
      <c r="G51" t="str">
        <f>"130044"</f>
        <v>130044</v>
      </c>
      <c r="H51" t="str">
        <f>"Condiment - Jelly Single Serve"</f>
        <v>Condiment - Jelly Single Serve</v>
      </c>
      <c r="I51" s="5" t="str">
        <f>"CS"</f>
        <v>CS</v>
      </c>
      <c r="J51" s="5">
        <v>6</v>
      </c>
      <c r="K51" s="5">
        <v>0.19</v>
      </c>
      <c r="L51">
        <f t="shared" ref="L51" si="84">IFERROR(IF(K51*J51=0,"0",K51*J51),0)</f>
        <v>1.1400000000000001</v>
      </c>
      <c r="M51" s="5">
        <v>0</v>
      </c>
      <c r="N51" t="str">
        <f t="shared" ref="N51" si="85">IF(M51*J51=0,"0",M51*J51)</f>
        <v>0</v>
      </c>
      <c r="O51" s="5">
        <v>1</v>
      </c>
      <c r="P51" s="5">
        <v>0</v>
      </c>
      <c r="Q51" s="5">
        <f t="shared" ref="Q51" si="86">P51*O51</f>
        <v>0</v>
      </c>
      <c r="R51" s="6">
        <f t="shared" ref="R51" si="87">IFERROR(Q51+N51+L51,"")</f>
        <v>1.1400000000000001</v>
      </c>
    </row>
    <row r="52" spans="1:18" x14ac:dyDescent="0.25">
      <c r="A52" t="s">
        <v>27</v>
      </c>
      <c r="B52" t="str">
        <f t="shared" ref="B52" si="88">IF($G51="","Hide","Show")</f>
        <v>Show</v>
      </c>
      <c r="H52" t="str">
        <f>"200- 1/2 oz"</f>
        <v>200- 1/2 oz</v>
      </c>
    </row>
    <row r="53" spans="1:18" x14ac:dyDescent="0.25">
      <c r="A53" t="s">
        <v>27</v>
      </c>
      <c r="B53" t="str">
        <f t="shared" si="83"/>
        <v>Show</v>
      </c>
      <c r="E53" s="1"/>
      <c r="F53" t="str">
        <f>"""Ceres4"",""TCP-LIVE"",""27"",""1"",""P109998"""</f>
        <v>"Ceres4","TCP-LIVE","27","1","P109998"</v>
      </c>
      <c r="G53" t="str">
        <f>"P109998"</f>
        <v>P109998</v>
      </c>
      <c r="H53" t="str">
        <f>"Condinment - Peanut Butter and Jelly packets"</f>
        <v>Condinment - Peanut Butter and Jelly packets</v>
      </c>
      <c r="I53" s="5" t="str">
        <f>"CS"</f>
        <v>CS</v>
      </c>
      <c r="J53" s="5">
        <v>27</v>
      </c>
      <c r="K53" s="5">
        <v>0</v>
      </c>
      <c r="L53" t="str">
        <f t="shared" ref="L53" si="89">IFERROR(IF(K53*J53=0,"0",K53*J53),0)</f>
        <v>0</v>
      </c>
      <c r="M53" s="5">
        <v>0</v>
      </c>
      <c r="N53" t="str">
        <f t="shared" ref="N53" si="90">IF(M53*J53=0,"0",M53*J53)</f>
        <v>0</v>
      </c>
      <c r="O53" s="5">
        <v>1.2</v>
      </c>
      <c r="P53" s="5">
        <v>50</v>
      </c>
      <c r="Q53" s="5">
        <f t="shared" ref="Q53" si="91">P53*O53</f>
        <v>60</v>
      </c>
      <c r="R53" s="6">
        <f t="shared" ref="R53" si="92">IFERROR(Q53+N53+L53,"")</f>
        <v>60</v>
      </c>
    </row>
    <row r="54" spans="1:18" x14ac:dyDescent="0.25">
      <c r="A54" t="s">
        <v>27</v>
      </c>
      <c r="B54" t="str">
        <f t="shared" ref="B54" si="93">IF($G53="","Hide","Show")</f>
        <v>Show</v>
      </c>
      <c r="H54" t="str">
        <f>"200- 2.12 oz"</f>
        <v>200- 2.12 oz</v>
      </c>
    </row>
    <row r="55" spans="1:18" x14ac:dyDescent="0.25">
      <c r="A55" t="s">
        <v>27</v>
      </c>
      <c r="B55" t="str">
        <f t="shared" si="83"/>
        <v>Show</v>
      </c>
      <c r="E55" s="1"/>
      <c r="F55" t="str">
        <f>"""Ceres4"",""TCP-LIVE"",""27"",""1"",""P119997"""</f>
        <v>"Ceres4","TCP-LIVE","27","1","P119997"</v>
      </c>
      <c r="G55" t="str">
        <f>"P119997"</f>
        <v>P119997</v>
      </c>
      <c r="H55" t="str">
        <f>"Condinment - Peppered Gravy"</f>
        <v>Condinment - Peppered Gravy</v>
      </c>
      <c r="I55" s="5" t="str">
        <f>"CS"</f>
        <v>CS</v>
      </c>
      <c r="J55" s="5">
        <v>2</v>
      </c>
      <c r="K55" s="5">
        <v>0</v>
      </c>
      <c r="L55" t="str">
        <f t="shared" ref="L55" si="94">IFERROR(IF(K55*J55=0,"0",K55*J55),0)</f>
        <v>0</v>
      </c>
      <c r="M55" s="5">
        <v>0</v>
      </c>
      <c r="N55" t="str">
        <f t="shared" ref="N55" si="95">IF(M55*J55=0,"0",M55*J55)</f>
        <v>0</v>
      </c>
      <c r="O55" s="5">
        <v>1.1000000000000001</v>
      </c>
      <c r="P55" s="5">
        <v>8.99</v>
      </c>
      <c r="Q55" s="5">
        <f t="shared" ref="Q55" si="96">P55*O55</f>
        <v>9.8890000000000011</v>
      </c>
      <c r="R55" s="6">
        <f t="shared" ref="R55" si="97">IFERROR(Q55+N55+L55,"")</f>
        <v>9.8890000000000011</v>
      </c>
    </row>
    <row r="56" spans="1:18" x14ac:dyDescent="0.25">
      <c r="A56" t="s">
        <v>27</v>
      </c>
      <c r="B56" t="str">
        <f t="shared" ref="B56" si="98">IF($G55="","Hide","Show")</f>
        <v>Show</v>
      </c>
      <c r="H56" t="str">
        <f>"24- 1 oz"</f>
        <v>24- 1 oz</v>
      </c>
    </row>
    <row r="57" spans="1:18" x14ac:dyDescent="0.25">
      <c r="A57" t="s">
        <v>27</v>
      </c>
      <c r="B57" t="str">
        <f t="shared" si="83"/>
        <v>Show</v>
      </c>
      <c r="E57" s="1"/>
      <c r="F57" t="str">
        <f>"""Ceres4"",""TCP-LIVE"",""27"",""1"",""P119998"""</f>
        <v>"Ceres4","TCP-LIVE","27","1","P119998"</v>
      </c>
      <c r="G57" t="str">
        <f>"P119998"</f>
        <v>P119998</v>
      </c>
      <c r="H57" t="str">
        <f>"Condinment - Chicken Gravy"</f>
        <v>Condinment - Chicken Gravy</v>
      </c>
      <c r="I57" s="5" t="str">
        <f>"CS"</f>
        <v>CS</v>
      </c>
      <c r="J57" s="5">
        <v>2</v>
      </c>
      <c r="K57" s="5">
        <v>0</v>
      </c>
      <c r="L57" t="str">
        <f t="shared" ref="L57" si="99">IFERROR(IF(K57*J57=0,"0",K57*J57),0)</f>
        <v>0</v>
      </c>
      <c r="M57" s="5">
        <v>0</v>
      </c>
      <c r="N57" t="str">
        <f t="shared" ref="N57" si="100">IF(M57*J57=0,"0",M57*J57)</f>
        <v>0</v>
      </c>
      <c r="O57" s="5">
        <v>1.1000000000000001</v>
      </c>
      <c r="P57" s="5">
        <v>8.99</v>
      </c>
      <c r="Q57" s="5">
        <f t="shared" ref="Q57" si="101">P57*O57</f>
        <v>9.8890000000000011</v>
      </c>
      <c r="R57" s="6">
        <f t="shared" ref="R57" si="102">IFERROR(Q57+N57+L57,"")</f>
        <v>9.8890000000000011</v>
      </c>
    </row>
    <row r="58" spans="1:18" x14ac:dyDescent="0.25">
      <c r="A58" t="s">
        <v>27</v>
      </c>
      <c r="B58" t="str">
        <f t="shared" ref="B58" si="103">IF($G57="","Hide","Show")</f>
        <v>Show</v>
      </c>
      <c r="H58" t="str">
        <f>"24- 1oz"</f>
        <v>24- 1oz</v>
      </c>
    </row>
    <row r="59" spans="1:18" x14ac:dyDescent="0.25">
      <c r="A59" t="s">
        <v>27</v>
      </c>
      <c r="B59" t="str">
        <f t="shared" si="83"/>
        <v>Show</v>
      </c>
      <c r="E59" s="1"/>
      <c r="F59" t="str">
        <f>"""Ceres4"",""TCP-LIVE"",""27"",""1"",""P120004"""</f>
        <v>"Ceres4","TCP-LIVE","27","1","P120004"</v>
      </c>
      <c r="G59" t="str">
        <f>"P120004"</f>
        <v>P120004</v>
      </c>
      <c r="H59" t="str">
        <f>"Condinment - Cornbread Stuffing Mix"</f>
        <v>Condinment - Cornbread Stuffing Mix</v>
      </c>
      <c r="I59" s="5" t="str">
        <f>"CS"</f>
        <v>CS</v>
      </c>
      <c r="J59" s="5">
        <v>9</v>
      </c>
      <c r="K59" s="5">
        <v>0</v>
      </c>
      <c r="L59" t="str">
        <f t="shared" ref="L59" si="104">IFERROR(IF(K59*J59=0,"0",K59*J59),0)</f>
        <v>0</v>
      </c>
      <c r="M59" s="5">
        <v>0</v>
      </c>
      <c r="N59" t="str">
        <f t="shared" ref="N59" si="105">IF(M59*J59=0,"0",M59*J59)</f>
        <v>0</v>
      </c>
      <c r="O59" s="5">
        <v>1.1000000000000001</v>
      </c>
      <c r="P59" s="5">
        <v>19.07</v>
      </c>
      <c r="Q59" s="5">
        <f t="shared" ref="Q59" si="106">P59*O59</f>
        <v>20.977</v>
      </c>
      <c r="R59" s="6">
        <f t="shared" ref="R59" si="107">IFERROR(Q59+N59+L59,"")</f>
        <v>20.977</v>
      </c>
    </row>
    <row r="60" spans="1:18" x14ac:dyDescent="0.25">
      <c r="A60" t="s">
        <v>27</v>
      </c>
      <c r="B60" t="str">
        <f t="shared" ref="B60" si="108">IF($G59="","Hide","Show")</f>
        <v>Show</v>
      </c>
      <c r="H60" t="str">
        <f>"24 - 6 oz"</f>
        <v>24 - 6 oz</v>
      </c>
    </row>
    <row r="61" spans="1:18" x14ac:dyDescent="0.25">
      <c r="A61" t="s">
        <v>27</v>
      </c>
      <c r="B61" t="str">
        <f t="shared" si="83"/>
        <v>Show</v>
      </c>
      <c r="E61" s="1"/>
      <c r="F61" t="str">
        <f>"""Ceres4"",""TCP-LIVE"",""27"",""1"",""P120054"""</f>
        <v>"Ceres4","TCP-LIVE","27","1","P120054"</v>
      </c>
      <c r="G61" t="str">
        <f>"P120054"</f>
        <v>P120054</v>
      </c>
      <c r="H61" t="str">
        <f>"Condiment-Sauce Sloppy Joe"</f>
        <v>Condiment-Sauce Sloppy Joe</v>
      </c>
      <c r="I61" s="5" t="str">
        <f>"CS"</f>
        <v>CS</v>
      </c>
      <c r="J61" s="5">
        <v>23</v>
      </c>
      <c r="K61" s="5">
        <v>0</v>
      </c>
      <c r="L61" t="str">
        <f t="shared" ref="L61" si="109">IFERROR(IF(K61*J61=0,"0",K61*J61),0)</f>
        <v>0</v>
      </c>
      <c r="M61" s="5">
        <v>0</v>
      </c>
      <c r="N61" t="str">
        <f t="shared" ref="N61" si="110">IF(M61*J61=0,"0",M61*J61)</f>
        <v>0</v>
      </c>
      <c r="O61" s="5">
        <v>1.2</v>
      </c>
      <c r="P61" s="5">
        <v>17.149999999999999</v>
      </c>
      <c r="Q61" s="5">
        <f t="shared" ref="Q61" si="111">P61*O61</f>
        <v>20.58</v>
      </c>
      <c r="R61" s="6">
        <f t="shared" ref="R61" si="112">IFERROR(Q61+N61+L61,"")</f>
        <v>20.58</v>
      </c>
    </row>
    <row r="62" spans="1:18" x14ac:dyDescent="0.25">
      <c r="A62" t="s">
        <v>27</v>
      </c>
      <c r="B62" t="str">
        <f t="shared" ref="B62" si="113">IF($G61="","Hide","Show")</f>
        <v>Show</v>
      </c>
      <c r="H62" t="str">
        <f>"24-15.5 oz"</f>
        <v>24-15.5 oz</v>
      </c>
    </row>
    <row r="63" spans="1:18" x14ac:dyDescent="0.25">
      <c r="A63" t="s">
        <v>27</v>
      </c>
      <c r="B63" t="str">
        <f t="shared" si="83"/>
        <v>Show</v>
      </c>
      <c r="E63" s="1"/>
      <c r="F63" t="str">
        <f>"""Ceres4"",""TCP-LIVE"",""27"",""1"",""P130004"""</f>
        <v>"Ceres4","TCP-LIVE","27","1","P130004"</v>
      </c>
      <c r="G63" t="str">
        <f>"P130004"</f>
        <v>P130004</v>
      </c>
      <c r="H63" t="str">
        <f>"Condiment-Strawberry Jam"</f>
        <v>Condiment-Strawberry Jam</v>
      </c>
      <c r="I63" s="5" t="str">
        <f>"CS"</f>
        <v>CS</v>
      </c>
      <c r="J63" s="5">
        <v>10</v>
      </c>
      <c r="K63" s="5">
        <v>0</v>
      </c>
      <c r="L63" t="str">
        <f t="shared" ref="L63" si="114">IFERROR(IF(K63*J63=0,"0",K63*J63),0)</f>
        <v>0</v>
      </c>
      <c r="M63" s="5">
        <v>0</v>
      </c>
      <c r="N63" t="str">
        <f t="shared" ref="N63" si="115">IF(M63*J63=0,"0",M63*J63)</f>
        <v>0</v>
      </c>
      <c r="O63" s="5">
        <v>1.2</v>
      </c>
      <c r="P63" s="5">
        <v>9.5299999999999994</v>
      </c>
      <c r="Q63" s="5">
        <f t="shared" ref="Q63" si="116">P63*O63</f>
        <v>11.435999999999998</v>
      </c>
      <c r="R63" s="6">
        <f t="shared" ref="R63" si="117">IFERROR(Q63+N63+L63,"")</f>
        <v>11.435999999999998</v>
      </c>
    </row>
    <row r="64" spans="1:18" x14ac:dyDescent="0.25">
      <c r="A64" t="s">
        <v>27</v>
      </c>
      <c r="B64" t="str">
        <f t="shared" ref="B64" si="118">IF($G63="","Hide","Show")</f>
        <v>Show</v>
      </c>
      <c r="H64" t="str">
        <f>"12-12 oz"</f>
        <v>12-12 oz</v>
      </c>
    </row>
    <row r="65" spans="1:18" x14ac:dyDescent="0.25">
      <c r="A65" t="s">
        <v>27</v>
      </c>
      <c r="B65" t="str">
        <f t="shared" si="83"/>
        <v>Show</v>
      </c>
      <c r="E65" s="1"/>
      <c r="F65" t="str">
        <f>"""Ceres4"",""TCP-LIVE"",""27"",""1"",""P130012"""</f>
        <v>"Ceres4","TCP-LIVE","27","1","P130012"</v>
      </c>
      <c r="G65" t="str">
        <f>"P130012"</f>
        <v>P130012</v>
      </c>
      <c r="H65" t="str">
        <f>"Condiment-Pancake Syrup"</f>
        <v>Condiment-Pancake Syrup</v>
      </c>
      <c r="I65" s="5" t="str">
        <f>"CS"</f>
        <v>CS</v>
      </c>
      <c r="J65" s="5">
        <v>23</v>
      </c>
      <c r="K65" s="5">
        <v>0</v>
      </c>
      <c r="L65" t="str">
        <f t="shared" ref="L65" si="119">IFERROR(IF(K65*J65=0,"0",K65*J65),0)</f>
        <v>0</v>
      </c>
      <c r="M65" s="5">
        <v>0</v>
      </c>
      <c r="N65" t="str">
        <f t="shared" ref="N65" si="120">IF(M65*J65=0,"0",M65*J65)</f>
        <v>0</v>
      </c>
      <c r="O65" s="5">
        <v>1.2</v>
      </c>
      <c r="P65" s="5">
        <v>12</v>
      </c>
      <c r="Q65" s="5">
        <f t="shared" ref="Q65" si="121">P65*O65</f>
        <v>14.399999999999999</v>
      </c>
      <c r="R65" s="6">
        <f t="shared" ref="R65" si="122">IFERROR(Q65+N65+L65,"")</f>
        <v>14.399999999999999</v>
      </c>
    </row>
    <row r="66" spans="1:18" x14ac:dyDescent="0.25">
      <c r="A66" t="s">
        <v>27</v>
      </c>
      <c r="B66" t="str">
        <f t="shared" ref="B66" si="123">IF($G65="","Hide","Show")</f>
        <v>Show</v>
      </c>
      <c r="H66" t="str">
        <f>"12-24 oz"</f>
        <v>12-24 oz</v>
      </c>
    </row>
    <row r="67" spans="1:18" x14ac:dyDescent="0.25">
      <c r="A67" t="s">
        <v>27</v>
      </c>
      <c r="B67" t="str">
        <f t="shared" si="83"/>
        <v>Show</v>
      </c>
      <c r="E67" s="1"/>
      <c r="F67" t="str">
        <f>"""Ceres4"",""TCP-LIVE"",""27"",""1"",""P130020"""</f>
        <v>"Ceres4","TCP-LIVE","27","1","P130020"</v>
      </c>
      <c r="G67" t="str">
        <f>"P130020"</f>
        <v>P130020</v>
      </c>
      <c r="H67" t="str">
        <f>"Condiment - Nacho Cheese"</f>
        <v>Condiment - Nacho Cheese</v>
      </c>
      <c r="I67" s="5" t="str">
        <f>"CS"</f>
        <v>CS</v>
      </c>
      <c r="J67" s="5">
        <v>30</v>
      </c>
      <c r="K67" s="5">
        <v>0</v>
      </c>
      <c r="L67" t="str">
        <f t="shared" ref="L67" si="124">IFERROR(IF(K67*J67=0,"0",K67*J67),0)</f>
        <v>0</v>
      </c>
      <c r="M67" s="5">
        <v>0</v>
      </c>
      <c r="N67" t="str">
        <f t="shared" ref="N67" si="125">IF(M67*J67=0,"0",M67*J67)</f>
        <v>0</v>
      </c>
      <c r="O67" s="5">
        <v>1</v>
      </c>
      <c r="P67" s="5">
        <v>58.57</v>
      </c>
      <c r="Q67" s="5">
        <f t="shared" ref="Q67" si="126">P67*O67</f>
        <v>58.57</v>
      </c>
      <c r="R67" s="6">
        <f t="shared" ref="R67" si="127">IFERROR(Q67+N67+L67,"")</f>
        <v>58.57</v>
      </c>
    </row>
    <row r="68" spans="1:18" x14ac:dyDescent="0.25">
      <c r="A68" t="s">
        <v>27</v>
      </c>
      <c r="B68" t="str">
        <f t="shared" ref="B68" si="128">IF($G67="","Hide","Show")</f>
        <v>Show</v>
      </c>
      <c r="H68" t="str">
        <f>"4 - 107 oz bag"</f>
        <v>4 - 107 oz bag</v>
      </c>
    </row>
    <row r="69" spans="1:18" x14ac:dyDescent="0.25">
      <c r="A69" t="s">
        <v>27</v>
      </c>
      <c r="B69" t="str">
        <f t="shared" si="83"/>
        <v>Show</v>
      </c>
      <c r="E69" s="1"/>
      <c r="F69" t="str">
        <f>"""Ceres4"",""TCP-LIVE"",""27"",""1"",""P199996"""</f>
        <v>"Ceres4","TCP-LIVE","27","1","P199996"</v>
      </c>
      <c r="G69" t="str">
        <f>"P199996"</f>
        <v>P199996</v>
      </c>
      <c r="H69" t="str">
        <f>"Condinment - Brown Gravy"</f>
        <v>Condinment - Brown Gravy</v>
      </c>
      <c r="I69" s="5" t="str">
        <f>"CS"</f>
        <v>CS</v>
      </c>
      <c r="J69" s="5">
        <v>2</v>
      </c>
      <c r="K69" s="5">
        <v>0</v>
      </c>
      <c r="L69" t="str">
        <f t="shared" ref="L69" si="129">IFERROR(IF(K69*J69=0,"0",K69*J69),0)</f>
        <v>0</v>
      </c>
      <c r="M69" s="5">
        <v>0</v>
      </c>
      <c r="N69" t="str">
        <f t="shared" ref="N69" si="130">IF(M69*J69=0,"0",M69*J69)</f>
        <v>0</v>
      </c>
      <c r="O69" s="5">
        <v>1.1000000000000001</v>
      </c>
      <c r="P69" s="5">
        <v>8.99</v>
      </c>
      <c r="Q69" s="5">
        <f t="shared" ref="Q69" si="131">P69*O69</f>
        <v>9.8890000000000011</v>
      </c>
      <c r="R69" s="6">
        <f t="shared" ref="R69" si="132">IFERROR(Q69+N69+L69,"")</f>
        <v>9.8890000000000011</v>
      </c>
    </row>
    <row r="70" spans="1:18" x14ac:dyDescent="0.25">
      <c r="A70" t="s">
        <v>27</v>
      </c>
      <c r="B70" t="str">
        <f t="shared" ref="B70" si="133">IF($G69="","Hide","Show")</f>
        <v>Show</v>
      </c>
      <c r="H70" t="str">
        <f>"24-1 oz"</f>
        <v>24-1 oz</v>
      </c>
    </row>
    <row r="71" spans="1:18" x14ac:dyDescent="0.25">
      <c r="A71" t="s">
        <v>27</v>
      </c>
      <c r="B71" t="str">
        <f t="shared" si="83"/>
        <v>Show</v>
      </c>
      <c r="E71" s="1"/>
      <c r="F71" t="str">
        <f>"""Ceres4"",""TCP-LIVE"",""27"",""1"",""P269995"""</f>
        <v>"Ceres4","TCP-LIVE","27","1","P269995"</v>
      </c>
      <c r="G71" t="str">
        <f>"P269995"</f>
        <v>P269995</v>
      </c>
      <c r="H71" t="str">
        <f>"Condiment - Red Chili"</f>
        <v>Condiment - Red Chili</v>
      </c>
      <c r="I71" s="5" t="str">
        <f>"EA"</f>
        <v>EA</v>
      </c>
      <c r="J71" s="5">
        <v>4</v>
      </c>
      <c r="K71" s="5">
        <v>0</v>
      </c>
      <c r="L71" t="str">
        <f t="shared" ref="L71" si="134">IFERROR(IF(K71*J71=0,"0",K71*J71),0)</f>
        <v>0</v>
      </c>
      <c r="M71" s="5">
        <v>0</v>
      </c>
      <c r="N71" t="str">
        <f t="shared" ref="N71" si="135">IF(M71*J71=0,"0",M71*J71)</f>
        <v>0</v>
      </c>
      <c r="O71" s="5">
        <v>1.1200000000000001</v>
      </c>
      <c r="P71" s="5">
        <v>4.46</v>
      </c>
      <c r="Q71" s="5">
        <f t="shared" ref="Q71" si="136">P71*O71</f>
        <v>4.9952000000000005</v>
      </c>
      <c r="R71" s="6">
        <f t="shared" ref="R71" si="137">IFERROR(Q71+N71+L71,"")</f>
        <v>4.9952000000000005</v>
      </c>
    </row>
    <row r="72" spans="1:18" x14ac:dyDescent="0.25">
      <c r="A72" t="s">
        <v>27</v>
      </c>
      <c r="B72" t="str">
        <f t="shared" ref="B72" si="138">IF($G71="","Hide","Show")</f>
        <v>Show</v>
      </c>
      <c r="H72" t="str">
        <f>"1-56 oz"</f>
        <v>1-56 oz</v>
      </c>
    </row>
    <row r="73" spans="1:18" x14ac:dyDescent="0.25">
      <c r="A73" t="s">
        <v>27</v>
      </c>
      <c r="B73" t="str">
        <f t="shared" ref="B73" si="139">IF($G51="","Hide","Show")</f>
        <v>Show</v>
      </c>
    </row>
    <row r="74" spans="1:18" ht="17.25" x14ac:dyDescent="0.3">
      <c r="A74" t="s">
        <v>27</v>
      </c>
      <c r="B74" t="str">
        <f t="shared" ref="B74" si="140">IF($G75="","Hide","Show")</f>
        <v>Show</v>
      </c>
      <c r="C74" t="str">
        <f>"""Ceres4"",""TCP-LIVE"",""14012281"",""1"",""DAIRY"""</f>
        <v>"Ceres4","TCP-LIVE","14012281","1","DAIRY"</v>
      </c>
      <c r="D74" t="s">
        <v>36</v>
      </c>
      <c r="E74" s="9" t="s">
        <v>10</v>
      </c>
      <c r="F74" s="2"/>
      <c r="G74" s="8" t="s">
        <v>121</v>
      </c>
    </row>
    <row r="75" spans="1:18" x14ac:dyDescent="0.25">
      <c r="A75" t="s">
        <v>27</v>
      </c>
      <c r="B75" t="str">
        <f t="shared" ref="B75:B83" si="141">IF($G75="","Hide","Show")</f>
        <v>Show</v>
      </c>
      <c r="E75" s="1"/>
      <c r="F75" t="s">
        <v>122</v>
      </c>
      <c r="G75" t="str">
        <f>"P150008"</f>
        <v>P150008</v>
      </c>
      <c r="H75" t="str">
        <f>"Dairy-Evaporated Milk"</f>
        <v>Dairy-Evaporated Milk</v>
      </c>
      <c r="I75" s="5" t="str">
        <f>"CS"</f>
        <v>CS</v>
      </c>
      <c r="J75" s="5">
        <v>18</v>
      </c>
      <c r="K75" s="5">
        <v>0</v>
      </c>
      <c r="L75" t="str">
        <f t="shared" ref="L75" si="142">IFERROR(IF(K75*J75=0,"0",K75*J75),0)</f>
        <v>0</v>
      </c>
      <c r="M75" s="5">
        <v>0</v>
      </c>
      <c r="N75" t="str">
        <f t="shared" ref="N75" si="143">IF(M75*J75=0,"0",M75*J75)</f>
        <v>0</v>
      </c>
      <c r="O75" s="5">
        <v>1.2</v>
      </c>
      <c r="P75" s="5">
        <v>16.43</v>
      </c>
      <c r="Q75" s="5">
        <f t="shared" ref="Q75" si="144">P75*O75</f>
        <v>19.715999999999998</v>
      </c>
      <c r="R75" s="6">
        <f t="shared" ref="R75" si="145">IFERROR(Q75+N75+L75,"")</f>
        <v>19.715999999999998</v>
      </c>
    </row>
    <row r="76" spans="1:18" x14ac:dyDescent="0.25">
      <c r="A76" t="s">
        <v>27</v>
      </c>
      <c r="B76" t="str">
        <f t="shared" ref="B76" si="146">IF($G75="","Hide","Show")</f>
        <v>Show</v>
      </c>
      <c r="H76" t="str">
        <f>"24-12 oz"</f>
        <v>24-12 oz</v>
      </c>
    </row>
    <row r="77" spans="1:18" x14ac:dyDescent="0.25">
      <c r="A77" t="s">
        <v>27</v>
      </c>
      <c r="B77" t="str">
        <f t="shared" si="141"/>
        <v>Show</v>
      </c>
      <c r="E77" s="1"/>
      <c r="F77" t="str">
        <f>"""Ceres4"",""TCP-LIVE"",""27"",""1"",""P169997"""</f>
        <v>"Ceres4","TCP-LIVE","27","1","P169997"</v>
      </c>
      <c r="G77" t="str">
        <f>"P169997"</f>
        <v>P169997</v>
      </c>
      <c r="H77" t="str">
        <f>"Dairy - Monterey Jack and Cheddar Cheese"</f>
        <v>Dairy - Monterey Jack and Cheddar Cheese</v>
      </c>
      <c r="I77" s="5" t="str">
        <f>"BAG"</f>
        <v>BAG</v>
      </c>
      <c r="J77" s="5">
        <v>5</v>
      </c>
      <c r="K77" s="5">
        <v>0</v>
      </c>
      <c r="L77" t="str">
        <f t="shared" ref="L77" si="147">IFERROR(IF(K77*J77=0,"0",K77*J77),0)</f>
        <v>0</v>
      </c>
      <c r="M77" s="5">
        <v>0</v>
      </c>
      <c r="N77" t="str">
        <f t="shared" ref="N77" si="148">IF(M77*J77=0,"0",M77*J77)</f>
        <v>0</v>
      </c>
      <c r="O77" s="5">
        <v>1.1000000000000001</v>
      </c>
      <c r="P77" s="5">
        <v>14.55</v>
      </c>
      <c r="Q77" s="5">
        <f t="shared" ref="Q77" si="149">P77*O77</f>
        <v>16.005000000000003</v>
      </c>
      <c r="R77" s="6">
        <f t="shared" ref="R77" si="150">IFERROR(Q77+N77+L77,"")</f>
        <v>16.005000000000003</v>
      </c>
    </row>
    <row r="78" spans="1:18" x14ac:dyDescent="0.25">
      <c r="A78" t="s">
        <v>27</v>
      </c>
      <c r="B78" t="str">
        <f t="shared" ref="B78" si="151">IF($G77="","Hide","Show")</f>
        <v>Show</v>
      </c>
      <c r="H78" t="str">
        <f>"1-5 lb bag"</f>
        <v>1-5 lb bag</v>
      </c>
    </row>
    <row r="79" spans="1:18" x14ac:dyDescent="0.25">
      <c r="A79" t="s">
        <v>27</v>
      </c>
      <c r="B79" t="str">
        <f t="shared" si="141"/>
        <v>Show</v>
      </c>
      <c r="E79" s="1"/>
      <c r="F79" t="str">
        <f>"""Ceres4"",""TCP-LIVE"",""27"",""1"",""P169998"""</f>
        <v>"Ceres4","TCP-LIVE","27","1","P169998"</v>
      </c>
      <c r="G79" t="str">
        <f>"P169998"</f>
        <v>P169998</v>
      </c>
      <c r="H79" t="str">
        <f>"Dairy - Sliced Cheese"</f>
        <v>Dairy - Sliced Cheese</v>
      </c>
      <c r="I79" s="5" t="str">
        <f>"EA"</f>
        <v>EA</v>
      </c>
      <c r="J79" s="5">
        <v>5</v>
      </c>
      <c r="K79" s="5">
        <v>0</v>
      </c>
      <c r="L79" t="str">
        <f t="shared" ref="L79" si="152">IFERROR(IF(K79*J79=0,"0",K79*J79),0)</f>
        <v>0</v>
      </c>
      <c r="M79" s="5">
        <v>0</v>
      </c>
      <c r="N79" t="str">
        <f t="shared" ref="N79" si="153">IF(M79*J79=0,"0",M79*J79)</f>
        <v>0</v>
      </c>
      <c r="O79" s="5">
        <v>1.1000000000000001</v>
      </c>
      <c r="P79" s="5">
        <v>11.444000000000001</v>
      </c>
      <c r="Q79" s="5">
        <f t="shared" ref="Q79" si="154">P79*O79</f>
        <v>12.588400000000002</v>
      </c>
      <c r="R79" s="6">
        <f t="shared" ref="R79" si="155">IFERROR(Q79+N79+L79,"")</f>
        <v>12.588400000000002</v>
      </c>
    </row>
    <row r="80" spans="1:18" x14ac:dyDescent="0.25">
      <c r="A80" t="s">
        <v>27</v>
      </c>
      <c r="B80" t="str">
        <f t="shared" ref="B80" si="156">IF($G79="","Hide","Show")</f>
        <v>Show</v>
      </c>
      <c r="H80" t="str">
        <f>"1-5 lb"</f>
        <v>1-5 lb</v>
      </c>
    </row>
    <row r="81" spans="1:18" x14ac:dyDescent="0.25">
      <c r="A81" t="s">
        <v>27</v>
      </c>
      <c r="B81" t="str">
        <f t="shared" si="141"/>
        <v>Show</v>
      </c>
      <c r="E81" s="1"/>
      <c r="F81" t="str">
        <f>"""Ceres4"",""TCP-LIVE"",""27"",""1"",""P169999"""</f>
        <v>"Ceres4","TCP-LIVE","27","1","P169999"</v>
      </c>
      <c r="G81" t="str">
        <f>"P169999"</f>
        <v>P169999</v>
      </c>
      <c r="H81" t="str">
        <f>"Dairy - Shredded Cheddar Cheese"</f>
        <v>Dairy - Shredded Cheddar Cheese</v>
      </c>
      <c r="I81" s="5" t="str">
        <f>"BAG"</f>
        <v>BAG</v>
      </c>
      <c r="J81" s="5">
        <v>5</v>
      </c>
      <c r="K81" s="5">
        <v>0</v>
      </c>
      <c r="L81" t="str">
        <f t="shared" ref="L81" si="157">IFERROR(IF(K81*J81=0,"0",K81*J81),0)</f>
        <v>0</v>
      </c>
      <c r="M81" s="5">
        <v>0</v>
      </c>
      <c r="N81" t="str">
        <f t="shared" ref="N81" si="158">IF(M81*J81=0,"0",M81*J81)</f>
        <v>0</v>
      </c>
      <c r="O81" s="5">
        <v>1.1000000000000001</v>
      </c>
      <c r="P81" s="5">
        <v>14.421429999999999</v>
      </c>
      <c r="Q81" s="5">
        <f t="shared" ref="Q81" si="159">P81*O81</f>
        <v>15.863573000000001</v>
      </c>
      <c r="R81" s="6">
        <f t="shared" ref="R81" si="160">IFERROR(Q81+N81+L81,"")</f>
        <v>15.863573000000001</v>
      </c>
    </row>
    <row r="82" spans="1:18" x14ac:dyDescent="0.25">
      <c r="A82" t="s">
        <v>27</v>
      </c>
      <c r="B82" t="str">
        <f t="shared" ref="B82" si="161">IF($G81="","Hide","Show")</f>
        <v>Show</v>
      </c>
      <c r="H82" t="str">
        <f>"1 - 5 lb bag"</f>
        <v>1 - 5 lb bag</v>
      </c>
    </row>
    <row r="83" spans="1:18" x14ac:dyDescent="0.25">
      <c r="A83" t="s">
        <v>27</v>
      </c>
      <c r="B83" t="str">
        <f t="shared" si="141"/>
        <v>Show</v>
      </c>
      <c r="E83" s="1"/>
      <c r="F83" t="str">
        <f>"""Ceres4"",""TCP-LIVE"",""27"",""1"",""P170000"""</f>
        <v>"Ceres4","TCP-LIVE","27","1","P170000"</v>
      </c>
      <c r="G83" t="str">
        <f>"P170000"</f>
        <v>P170000</v>
      </c>
      <c r="H83" t="str">
        <f>"Dairy- Mozzarella Cheese Shredded"</f>
        <v>Dairy- Mozzarella Cheese Shredded</v>
      </c>
      <c r="I83" s="5" t="str">
        <f>"BAG"</f>
        <v>BAG</v>
      </c>
      <c r="J83" s="5">
        <v>5</v>
      </c>
      <c r="K83" s="5">
        <v>0</v>
      </c>
      <c r="L83" t="str">
        <f t="shared" ref="L83" si="162">IFERROR(IF(K83*J83=0,"0",K83*J83),0)</f>
        <v>0</v>
      </c>
      <c r="M83" s="5">
        <v>0</v>
      </c>
      <c r="N83" t="str">
        <f t="shared" ref="N83" si="163">IF(M83*J83=0,"0",M83*J83)</f>
        <v>0</v>
      </c>
      <c r="O83" s="5">
        <v>1.2</v>
      </c>
      <c r="P83" s="5">
        <v>14.843999999999999</v>
      </c>
      <c r="Q83" s="5">
        <f t="shared" ref="Q83" si="164">P83*O83</f>
        <v>17.812799999999999</v>
      </c>
      <c r="R83" s="6">
        <f t="shared" ref="R83" si="165">IFERROR(Q83+N83+L83,"")</f>
        <v>17.812799999999999</v>
      </c>
    </row>
    <row r="84" spans="1:18" x14ac:dyDescent="0.25">
      <c r="A84" t="s">
        <v>27</v>
      </c>
      <c r="B84" t="str">
        <f t="shared" ref="B84" si="166">IF($G83="","Hide","Show")</f>
        <v>Show</v>
      </c>
      <c r="H84" t="str">
        <f>"1- 5 lb bag"</f>
        <v>1- 5 lb bag</v>
      </c>
    </row>
    <row r="85" spans="1:18" x14ac:dyDescent="0.25">
      <c r="A85" t="s">
        <v>27</v>
      </c>
      <c r="B85" t="str">
        <f t="shared" ref="B85" si="167">IF($G75="","Hide","Show")</f>
        <v>Show</v>
      </c>
    </row>
    <row r="86" spans="1:18" ht="17.25" x14ac:dyDescent="0.3">
      <c r="A86" t="s">
        <v>27</v>
      </c>
      <c r="B86" t="str">
        <f t="shared" ref="B86" si="168">IF($G87="","Hide","Show")</f>
        <v>Show</v>
      </c>
      <c r="C86" t="str">
        <f>"""Ceres4"",""TCP-LIVE"",""14012281"",""1"",""DESSERT"""</f>
        <v>"Ceres4","TCP-LIVE","14012281","1","DESSERT"</v>
      </c>
      <c r="D86" t="s">
        <v>37</v>
      </c>
      <c r="E86" s="9" t="s">
        <v>10</v>
      </c>
      <c r="F86" s="2"/>
      <c r="G86" s="8" t="s">
        <v>112</v>
      </c>
    </row>
    <row r="87" spans="1:18" x14ac:dyDescent="0.25">
      <c r="A87" t="s">
        <v>27</v>
      </c>
      <c r="B87" t="str">
        <f t="shared" ref="B87" si="169">IF($G87="","Hide","Show")</f>
        <v>Show</v>
      </c>
      <c r="E87" s="1"/>
      <c r="F87" t="s">
        <v>119</v>
      </c>
      <c r="G87" t="s">
        <v>113</v>
      </c>
      <c r="H87" t="s">
        <v>116</v>
      </c>
      <c r="I87" s="5" t="s">
        <v>118</v>
      </c>
      <c r="J87" s="5">
        <v>6</v>
      </c>
      <c r="K87" s="5">
        <v>0</v>
      </c>
      <c r="L87" t="str">
        <f t="shared" ref="L87" si="170">IFERROR(IF(K87*J87=0,"0",K87*J87),0)</f>
        <v>0</v>
      </c>
      <c r="M87" s="5">
        <v>0</v>
      </c>
      <c r="N87" t="str">
        <f t="shared" ref="N87" si="171">IF(M87*J87=0,"0",M87*J87)</f>
        <v>0</v>
      </c>
      <c r="O87" s="5">
        <v>1.1000000000000001</v>
      </c>
      <c r="P87" s="5">
        <v>21.047139999999999</v>
      </c>
      <c r="Q87" s="5">
        <f t="shared" ref="Q87" si="172">P87*O87</f>
        <v>23.151854</v>
      </c>
      <c r="R87" s="6">
        <f t="shared" ref="R87" si="173">IFERROR(Q87+N87+L87,"")</f>
        <v>23.151854</v>
      </c>
    </row>
    <row r="88" spans="1:18" x14ac:dyDescent="0.25">
      <c r="A88" t="s">
        <v>27</v>
      </c>
      <c r="B88" t="str">
        <f t="shared" ref="B88" si="174">IF($G87="","Hide","Show")</f>
        <v>Show</v>
      </c>
      <c r="H88" t="s">
        <v>117</v>
      </c>
    </row>
    <row r="89" spans="1:18" x14ac:dyDescent="0.25">
      <c r="A89" t="s">
        <v>27</v>
      </c>
      <c r="B89" t="str">
        <f t="shared" ref="B89" si="175">IF($G87="","Hide","Show")</f>
        <v>Show</v>
      </c>
    </row>
    <row r="90" spans="1:18" ht="17.25" hidden="1" x14ac:dyDescent="0.3">
      <c r="A90" t="s">
        <v>27</v>
      </c>
      <c r="B90" t="str">
        <f t="shared" ref="B90" si="176">IF($G91="","Hide","Show")</f>
        <v>Hide</v>
      </c>
      <c r="C90" t="str">
        <f>"""Ceres4"",""TCP-LIVE"",""14012281"",""1"",""DRESSING"""</f>
        <v>"Ceres4","TCP-LIVE","14012281","1","DRESSING"</v>
      </c>
      <c r="D90" t="s">
        <v>38</v>
      </c>
      <c r="E90" s="9" t="s">
        <v>10</v>
      </c>
      <c r="F90" s="2"/>
      <c r="G90" s="8" t="s">
        <v>114</v>
      </c>
    </row>
    <row r="91" spans="1:18" hidden="1" x14ac:dyDescent="0.25">
      <c r="A91" t="s">
        <v>27</v>
      </c>
      <c r="B91" t="str">
        <f t="shared" ref="B91" si="177">IF($G91="","Hide","Show")</f>
        <v>Hide</v>
      </c>
      <c r="E91" s="1"/>
      <c r="F91" t="s">
        <v>28</v>
      </c>
      <c r="G91" t="s">
        <v>28</v>
      </c>
      <c r="H91" t="s">
        <v>28</v>
      </c>
      <c r="I91" s="5" t="s">
        <v>28</v>
      </c>
      <c r="J91" s="5" t="s">
        <v>28</v>
      </c>
      <c r="K91" s="5" t="s">
        <v>96</v>
      </c>
      <c r="L91">
        <f t="shared" ref="L91" si="178">IFERROR(IF(K91*J91=0,"0",K91*J91),0)</f>
        <v>0</v>
      </c>
      <c r="M91" s="5" t="s">
        <v>28</v>
      </c>
      <c r="N91" t="e">
        <f t="shared" ref="N91" si="179">IF(M91*J91=0,"0",M91*J91)</f>
        <v>#VALUE!</v>
      </c>
      <c r="O91" s="5" t="s">
        <v>28</v>
      </c>
      <c r="P91" s="5" t="s">
        <v>28</v>
      </c>
      <c r="Q91" s="5" t="e">
        <f t="shared" ref="Q91" si="180">P91*O91</f>
        <v>#VALUE!</v>
      </c>
      <c r="R91" s="6" t="str">
        <f t="shared" ref="R91" si="181">IFERROR(Q91+N91+L91,"")</f>
        <v/>
      </c>
    </row>
    <row r="92" spans="1:18" hidden="1" x14ac:dyDescent="0.25">
      <c r="A92" t="s">
        <v>27</v>
      </c>
      <c r="B92" t="str">
        <f t="shared" ref="B92" si="182">IF($G91="","Hide","Show")</f>
        <v>Hide</v>
      </c>
      <c r="H92" t="s">
        <v>28</v>
      </c>
    </row>
    <row r="93" spans="1:18" hidden="1" x14ac:dyDescent="0.25">
      <c r="A93" t="s">
        <v>27</v>
      </c>
      <c r="B93" t="str">
        <f t="shared" ref="B93" si="183">IF($G91="","Hide","Show")</f>
        <v>Hide</v>
      </c>
    </row>
    <row r="94" spans="1:18" ht="17.25" x14ac:dyDescent="0.3">
      <c r="A94" t="s">
        <v>27</v>
      </c>
      <c r="B94" t="str">
        <f t="shared" ref="B94" si="184">IF($G95="","Hide","Show")</f>
        <v>Show</v>
      </c>
      <c r="C94" t="str">
        <f>"""Ceres4"",""TCP-LIVE"",""14012281"",""1"",""ENTREE"""</f>
        <v>"Ceres4","TCP-LIVE","14012281","1","ENTREE"</v>
      </c>
      <c r="D94" t="s">
        <v>39</v>
      </c>
      <c r="E94" s="9" t="s">
        <v>10</v>
      </c>
      <c r="F94" s="2"/>
      <c r="G94" s="8" t="s">
        <v>115</v>
      </c>
    </row>
    <row r="95" spans="1:18" x14ac:dyDescent="0.25">
      <c r="A95" t="s">
        <v>27</v>
      </c>
      <c r="B95" t="str">
        <f t="shared" ref="B95:B107" si="185">IF($G95="","Hide","Show")</f>
        <v>Show</v>
      </c>
      <c r="E95" s="1"/>
      <c r="F95" t="s">
        <v>120</v>
      </c>
      <c r="G95" t="str">
        <f>"P250014"</f>
        <v>P250014</v>
      </c>
      <c r="H95" t="str">
        <f>"Entree - Beef Stew"</f>
        <v>Entree - Beef Stew</v>
      </c>
      <c r="I95" s="5" t="str">
        <f>"CS"</f>
        <v>CS</v>
      </c>
      <c r="J95" s="5">
        <v>13</v>
      </c>
      <c r="K95" s="5">
        <v>0</v>
      </c>
      <c r="L95" t="str">
        <f t="shared" ref="L95" si="186">IFERROR(IF(K95*J95=0,"0",K95*J95),0)</f>
        <v>0</v>
      </c>
      <c r="M95" s="5">
        <v>0</v>
      </c>
      <c r="N95" t="str">
        <f t="shared" ref="N95" si="187">IF(M95*J95=0,"0",M95*J95)</f>
        <v>0</v>
      </c>
      <c r="O95" s="5">
        <v>1.2</v>
      </c>
      <c r="P95" s="5">
        <v>10.62</v>
      </c>
      <c r="Q95" s="5">
        <f t="shared" ref="Q95" si="188">P95*O95</f>
        <v>12.743999999999998</v>
      </c>
      <c r="R95" s="6">
        <f t="shared" ref="R95" si="189">IFERROR(Q95+N95+L95,"")</f>
        <v>12.743999999999998</v>
      </c>
    </row>
    <row r="96" spans="1:18" x14ac:dyDescent="0.25">
      <c r="A96" t="s">
        <v>27</v>
      </c>
      <c r="B96" t="str">
        <f t="shared" ref="B96" si="190">IF($G95="","Hide","Show")</f>
        <v>Show</v>
      </c>
      <c r="H96" t="str">
        <f>"12-15 oz"</f>
        <v>12-15 oz</v>
      </c>
    </row>
    <row r="97" spans="1:18" x14ac:dyDescent="0.25">
      <c r="A97" t="s">
        <v>27</v>
      </c>
      <c r="B97" t="str">
        <f t="shared" si="185"/>
        <v>Show</v>
      </c>
      <c r="E97" s="1"/>
      <c r="F97" t="str">
        <f>"""Ceres4"",""TCP-LIVE"",""27"",""1"",""P250018"""</f>
        <v>"Ceres4","TCP-LIVE","27","1","P250018"</v>
      </c>
      <c r="G97" t="str">
        <f>"P250018"</f>
        <v>P250018</v>
      </c>
      <c r="H97" t="str">
        <f>"Entree - Au Gratin Potatoes"</f>
        <v>Entree - Au Gratin Potatoes</v>
      </c>
      <c r="I97" s="5" t="str">
        <f>"CS"</f>
        <v>CS</v>
      </c>
      <c r="J97" s="5">
        <v>4</v>
      </c>
      <c r="K97" s="5">
        <v>0</v>
      </c>
      <c r="L97" t="str">
        <f t="shared" ref="L97" si="191">IFERROR(IF(K97*J97=0,"0",K97*J97),0)</f>
        <v>0</v>
      </c>
      <c r="M97" s="5">
        <v>0</v>
      </c>
      <c r="N97" t="str">
        <f t="shared" ref="N97" si="192">IF(M97*J97=0,"0",M97*J97)</f>
        <v>0</v>
      </c>
      <c r="O97" s="5">
        <v>1.2</v>
      </c>
      <c r="P97" s="5">
        <v>10.14</v>
      </c>
      <c r="Q97" s="5">
        <f t="shared" ref="Q97" si="193">P97*O97</f>
        <v>12.168000000000001</v>
      </c>
      <c r="R97" s="6">
        <f t="shared" ref="R97" si="194">IFERROR(Q97+N97+L97,"")</f>
        <v>12.168000000000001</v>
      </c>
    </row>
    <row r="98" spans="1:18" x14ac:dyDescent="0.25">
      <c r="A98" t="s">
        <v>27</v>
      </c>
      <c r="B98" t="str">
        <f t="shared" ref="B98" si="195">IF($G97="","Hide","Show")</f>
        <v>Show</v>
      </c>
      <c r="H98" t="str">
        <f>"12- 4.4 oz"</f>
        <v>12- 4.4 oz</v>
      </c>
    </row>
    <row r="99" spans="1:18" x14ac:dyDescent="0.25">
      <c r="A99" t="s">
        <v>27</v>
      </c>
      <c r="B99" t="str">
        <f t="shared" si="185"/>
        <v>Show</v>
      </c>
      <c r="E99" s="1"/>
      <c r="F99" t="str">
        <f>"""Ceres4"",""TCP-LIVE"",""27"",""1"",""P250019"""</f>
        <v>"Ceres4","TCP-LIVE","27","1","P250019"</v>
      </c>
      <c r="G99" t="str">
        <f>"P250019"</f>
        <v>P250019</v>
      </c>
      <c r="H99" t="str">
        <f>"Entree - Stroganoff Skillet Dinner"</f>
        <v>Entree - Stroganoff Skillet Dinner</v>
      </c>
      <c r="I99" s="5" t="str">
        <f>"CS"</f>
        <v>CS</v>
      </c>
      <c r="J99" s="5">
        <v>9</v>
      </c>
      <c r="K99" s="5">
        <v>0</v>
      </c>
      <c r="L99" t="str">
        <f t="shared" ref="L99" si="196">IFERROR(IF(K99*J99=0,"0",K99*J99),0)</f>
        <v>0</v>
      </c>
      <c r="M99" s="5">
        <v>0</v>
      </c>
      <c r="N99" t="str">
        <f t="shared" ref="N99" si="197">IF(M99*J99=0,"0",M99*J99)</f>
        <v>0</v>
      </c>
      <c r="O99" s="5">
        <v>1.1000000000000001</v>
      </c>
      <c r="P99" s="5">
        <v>14.23</v>
      </c>
      <c r="Q99" s="5">
        <f t="shared" ref="Q99" si="198">P99*O99</f>
        <v>15.653000000000002</v>
      </c>
      <c r="R99" s="6">
        <f t="shared" ref="R99" si="199">IFERROR(Q99+N99+L99,"")</f>
        <v>15.653000000000002</v>
      </c>
    </row>
    <row r="100" spans="1:18" x14ac:dyDescent="0.25">
      <c r="A100" t="s">
        <v>27</v>
      </c>
      <c r="B100" t="str">
        <f t="shared" ref="B100" si="200">IF($G99="","Hide","Show")</f>
        <v>Show</v>
      </c>
      <c r="H100" t="str">
        <f>"24-5.6 oz"</f>
        <v>24-5.6 oz</v>
      </c>
    </row>
    <row r="101" spans="1:18" x14ac:dyDescent="0.25">
      <c r="A101" t="s">
        <v>27</v>
      </c>
      <c r="B101" t="str">
        <f t="shared" si="185"/>
        <v>Show</v>
      </c>
      <c r="E101" s="1"/>
      <c r="F101" t="str">
        <f>"""Ceres4"",""TCP-LIVE"",""27"",""1"",""P250022"""</f>
        <v>"Ceres4","TCP-LIVE","27","1","P250022"</v>
      </c>
      <c r="G101" t="str">
        <f>"P250022"</f>
        <v>P250022</v>
      </c>
      <c r="H101" t="str">
        <f>"Entree - Beef Pasta Skillet Dinner"</f>
        <v>Entree - Beef Pasta Skillet Dinner</v>
      </c>
      <c r="I101" s="5" t="str">
        <f>"CS"</f>
        <v>CS</v>
      </c>
      <c r="J101" s="5">
        <v>9</v>
      </c>
      <c r="K101" s="5">
        <v>0</v>
      </c>
      <c r="L101" t="str">
        <f t="shared" ref="L101" si="201">IFERROR(IF(K101*J101=0,"0",K101*J101),0)</f>
        <v>0</v>
      </c>
      <c r="M101" s="5">
        <v>0</v>
      </c>
      <c r="N101" t="str">
        <f t="shared" ref="N101" si="202">IF(M101*J101=0,"0",M101*J101)</f>
        <v>0</v>
      </c>
      <c r="O101" s="5">
        <v>1.1000000000000001</v>
      </c>
      <c r="P101" s="5">
        <v>13.78</v>
      </c>
      <c r="Q101" s="5">
        <f t="shared" ref="Q101" si="203">P101*O101</f>
        <v>15.158000000000001</v>
      </c>
      <c r="R101" s="6">
        <f t="shared" ref="R101" si="204">IFERROR(Q101+N101+L101,"")</f>
        <v>15.158000000000001</v>
      </c>
    </row>
    <row r="102" spans="1:18" x14ac:dyDescent="0.25">
      <c r="A102" t="s">
        <v>27</v>
      </c>
      <c r="B102" t="str">
        <f t="shared" ref="B102" si="205">IF($G101="","Hide","Show")</f>
        <v>Show</v>
      </c>
      <c r="H102" t="str">
        <f>"24-5.6 oz"</f>
        <v>24-5.6 oz</v>
      </c>
    </row>
    <row r="103" spans="1:18" x14ac:dyDescent="0.25">
      <c r="A103" t="s">
        <v>27</v>
      </c>
      <c r="B103" t="str">
        <f t="shared" si="185"/>
        <v>Show</v>
      </c>
      <c r="E103" s="1"/>
      <c r="F103" t="str">
        <f>"""Ceres4"",""TCP-LIVE"",""27"",""1"",""P250023"""</f>
        <v>"Ceres4","TCP-LIVE","27","1","P250023"</v>
      </c>
      <c r="G103" t="str">
        <f>"P250023"</f>
        <v>P250023</v>
      </c>
      <c r="H103" t="str">
        <f>"Entree - Lasagna Skillet Dinner"</f>
        <v>Entree - Lasagna Skillet Dinner</v>
      </c>
      <c r="I103" s="5" t="str">
        <f>"CS"</f>
        <v>CS</v>
      </c>
      <c r="J103" s="5">
        <v>8</v>
      </c>
      <c r="K103" s="5">
        <v>0</v>
      </c>
      <c r="L103" t="str">
        <f t="shared" ref="L103" si="206">IFERROR(IF(K103*J103=0,"0",K103*J103),0)</f>
        <v>0</v>
      </c>
      <c r="M103" s="5">
        <v>0</v>
      </c>
      <c r="N103" t="str">
        <f t="shared" ref="N103" si="207">IF(M103*J103=0,"0",M103*J103)</f>
        <v>0</v>
      </c>
      <c r="O103" s="5">
        <v>1.1000000000000001</v>
      </c>
      <c r="P103" s="5">
        <v>13.03</v>
      </c>
      <c r="Q103" s="5">
        <f t="shared" ref="Q103" si="208">P103*O103</f>
        <v>14.333</v>
      </c>
      <c r="R103" s="6">
        <f t="shared" ref="R103" si="209">IFERROR(Q103+N103+L103,"")</f>
        <v>14.333</v>
      </c>
    </row>
    <row r="104" spans="1:18" x14ac:dyDescent="0.25">
      <c r="A104" t="s">
        <v>27</v>
      </c>
      <c r="B104" t="str">
        <f t="shared" ref="B104" si="210">IF($G103="","Hide","Show")</f>
        <v>Show</v>
      </c>
      <c r="H104" t="str">
        <f>"24-5.6 oz"</f>
        <v>24-5.6 oz</v>
      </c>
    </row>
    <row r="105" spans="1:18" x14ac:dyDescent="0.25">
      <c r="A105" t="s">
        <v>27</v>
      </c>
      <c r="B105" t="str">
        <f t="shared" si="185"/>
        <v>Show</v>
      </c>
      <c r="E105" s="1"/>
      <c r="F105" t="str">
        <f>"""Ceres4"",""TCP-LIVE"",""27"",""1"",""P250027"""</f>
        <v>"Ceres4","TCP-LIVE","27","1","P250027"</v>
      </c>
      <c r="G105" t="str">
        <f>"P250027"</f>
        <v>P250027</v>
      </c>
      <c r="H105" t="str">
        <f>"Entree - Beef Hash"</f>
        <v>Entree - Beef Hash</v>
      </c>
      <c r="I105" s="5" t="str">
        <f>"CS"</f>
        <v>CS</v>
      </c>
      <c r="J105" s="5">
        <v>8</v>
      </c>
      <c r="K105" s="5">
        <v>0</v>
      </c>
      <c r="L105" t="str">
        <f t="shared" ref="L105" si="211">IFERROR(IF(K105*J105=0,"0",K105*J105),0)</f>
        <v>0</v>
      </c>
      <c r="M105" s="5">
        <v>0</v>
      </c>
      <c r="N105" t="str">
        <f t="shared" ref="N105" si="212">IF(M105*J105=0,"0",M105*J105)</f>
        <v>0</v>
      </c>
      <c r="O105" s="5">
        <v>1.1000000000000001</v>
      </c>
      <c r="P105" s="5">
        <v>11.45</v>
      </c>
      <c r="Q105" s="5">
        <f t="shared" ref="Q105" si="213">P105*O105</f>
        <v>12.595000000000001</v>
      </c>
      <c r="R105" s="6">
        <f t="shared" ref="R105" si="214">IFERROR(Q105+N105+L105,"")</f>
        <v>12.595000000000001</v>
      </c>
    </row>
    <row r="106" spans="1:18" x14ac:dyDescent="0.25">
      <c r="A106" t="s">
        <v>27</v>
      </c>
      <c r="B106" t="str">
        <f t="shared" ref="B106" si="215">IF($G105="","Hide","Show")</f>
        <v>Show</v>
      </c>
      <c r="H106" t="str">
        <f>"12-10 oz"</f>
        <v>12-10 oz</v>
      </c>
    </row>
    <row r="107" spans="1:18" x14ac:dyDescent="0.25">
      <c r="A107" t="s">
        <v>27</v>
      </c>
      <c r="B107" t="str">
        <f t="shared" si="185"/>
        <v>Show</v>
      </c>
      <c r="E107" s="1"/>
      <c r="F107" t="str">
        <f>"""Ceres4"",""TCP-LIVE"",""27"",""1"",""P269998"""</f>
        <v>"Ceres4","TCP-LIVE","27","1","P269998"</v>
      </c>
      <c r="G107" t="str">
        <f>"P269998"</f>
        <v>P269998</v>
      </c>
      <c r="H107" t="str">
        <f>"Entree- Red Chili"</f>
        <v>Entree- Red Chili</v>
      </c>
      <c r="I107" s="5" t="str">
        <f>"EA"</f>
        <v>EA</v>
      </c>
      <c r="J107" s="5">
        <v>1</v>
      </c>
      <c r="K107" s="5">
        <v>0</v>
      </c>
      <c r="L107" t="str">
        <f t="shared" ref="L107" si="216">IFERROR(IF(K107*J107=0,"0",K107*J107),0)</f>
        <v>0</v>
      </c>
      <c r="M107" s="5">
        <v>0</v>
      </c>
      <c r="N107" t="str">
        <f t="shared" ref="N107" si="217">IF(M107*J107=0,"0",M107*J107)</f>
        <v>0</v>
      </c>
      <c r="O107" s="5">
        <v>1.1000000000000001</v>
      </c>
      <c r="P107" s="5">
        <v>4.5733299999999995</v>
      </c>
      <c r="Q107" s="5">
        <f t="shared" ref="Q107" si="218">P107*O107</f>
        <v>5.0306629999999997</v>
      </c>
      <c r="R107" s="6">
        <f t="shared" ref="R107" si="219">IFERROR(Q107+N107+L107,"")</f>
        <v>5.0306629999999997</v>
      </c>
    </row>
    <row r="108" spans="1:18" x14ac:dyDescent="0.25">
      <c r="A108" t="s">
        <v>27</v>
      </c>
      <c r="B108" t="str">
        <f t="shared" ref="B108" si="220">IF($G107="","Hide","Show")</f>
        <v>Show</v>
      </c>
      <c r="H108" t="str">
        <f>"1- 1 lb tub"</f>
        <v>1- 1 lb tub</v>
      </c>
    </row>
    <row r="109" spans="1:18" x14ac:dyDescent="0.25">
      <c r="A109" t="s">
        <v>27</v>
      </c>
      <c r="B109" t="str">
        <f t="shared" ref="B109" si="221">IF($G95="","Hide","Show")</f>
        <v>Show</v>
      </c>
    </row>
    <row r="110" spans="1:18" ht="17.25" x14ac:dyDescent="0.3">
      <c r="A110" t="s">
        <v>27</v>
      </c>
      <c r="B110" t="str">
        <f t="shared" ref="B110" si="222">IF($G111="","Hide","Show")</f>
        <v>Show</v>
      </c>
      <c r="C110" t="str">
        <f>"""Ceres4"",""TCP-LIVE"",""14012281"",""1"",""FRUIT/ VEG"""</f>
        <v>"Ceres4","TCP-LIVE","14012281","1","FRUIT/ VEG"</v>
      </c>
      <c r="D110" t="s">
        <v>40</v>
      </c>
      <c r="E110" s="9" t="s">
        <v>10</v>
      </c>
      <c r="F110" s="2"/>
      <c r="G110" s="8" t="s">
        <v>110</v>
      </c>
    </row>
    <row r="111" spans="1:18" x14ac:dyDescent="0.25">
      <c r="A111" t="s">
        <v>27</v>
      </c>
      <c r="B111" t="str">
        <f t="shared" ref="B111:B123" si="223">IF($G111="","Hide","Show")</f>
        <v>Show</v>
      </c>
      <c r="E111" s="1"/>
      <c r="F111" t="s">
        <v>111</v>
      </c>
      <c r="G111" t="str">
        <f>"P300001"</f>
        <v>P300001</v>
      </c>
      <c r="H111" t="str">
        <f>"Vegetable-Canned Sweet Corn"</f>
        <v>Vegetable-Canned Sweet Corn</v>
      </c>
      <c r="I111" s="5" t="str">
        <f>"CS"</f>
        <v>CS</v>
      </c>
      <c r="J111" s="5">
        <v>28</v>
      </c>
      <c r="K111" s="5">
        <v>0</v>
      </c>
      <c r="L111" t="str">
        <f t="shared" ref="L111" si="224">IFERROR(IF(K111*J111=0,"0",K111*J111),0)</f>
        <v>0</v>
      </c>
      <c r="M111" s="5">
        <v>0</v>
      </c>
      <c r="N111" t="str">
        <f t="shared" ref="N111" si="225">IF(M111*J111=0,"0",M111*J111)</f>
        <v>0</v>
      </c>
      <c r="O111" s="5">
        <v>1.2</v>
      </c>
      <c r="P111" s="5">
        <v>12.339090000000001</v>
      </c>
      <c r="Q111" s="5">
        <f t="shared" ref="Q111" si="226">P111*O111</f>
        <v>14.806908</v>
      </c>
      <c r="R111" s="6">
        <f t="shared" ref="R111" si="227">IFERROR(Q111+N111+L111,"")</f>
        <v>14.806908</v>
      </c>
    </row>
    <row r="112" spans="1:18" x14ac:dyDescent="0.25">
      <c r="A112" t="s">
        <v>27</v>
      </c>
      <c r="B112" t="str">
        <f t="shared" ref="B112" si="228">IF($G111="","Hide","Show")</f>
        <v>Show</v>
      </c>
      <c r="H112" t="str">
        <f>"24-15 oz"</f>
        <v>24-15 oz</v>
      </c>
    </row>
    <row r="113" spans="1:18" x14ac:dyDescent="0.25">
      <c r="A113" t="s">
        <v>27</v>
      </c>
      <c r="B113" t="str">
        <f t="shared" si="223"/>
        <v>Show</v>
      </c>
      <c r="E113" s="1"/>
      <c r="F113" t="str">
        <f>"""Ceres4"",""TCP-LIVE"",""27"",""1"",""P300005"""</f>
        <v>"Ceres4","TCP-LIVE","27","1","P300005"</v>
      </c>
      <c r="G113" t="str">
        <f>"P300005"</f>
        <v>P300005</v>
      </c>
      <c r="H113" t="str">
        <f>"Vegetable -  Green Beans"</f>
        <v>Vegetable -  Green Beans</v>
      </c>
      <c r="I113" s="5" t="str">
        <f>"CS"</f>
        <v>CS</v>
      </c>
      <c r="J113" s="5">
        <v>28</v>
      </c>
      <c r="K113" s="5">
        <v>0</v>
      </c>
      <c r="L113" t="str">
        <f t="shared" ref="L113" si="229">IFERROR(IF(K113*J113=0,"0",K113*J113),0)</f>
        <v>0</v>
      </c>
      <c r="M113" s="5">
        <v>0</v>
      </c>
      <c r="N113" t="str">
        <f t="shared" ref="N113" si="230">IF(M113*J113=0,"0",M113*J113)</f>
        <v>0</v>
      </c>
      <c r="O113" s="5">
        <v>1.2</v>
      </c>
      <c r="P113" s="5">
        <v>11.87</v>
      </c>
      <c r="Q113" s="5">
        <f t="shared" ref="Q113" si="231">P113*O113</f>
        <v>14.243999999999998</v>
      </c>
      <c r="R113" s="6">
        <f t="shared" ref="R113" si="232">IFERROR(Q113+N113+L113,"")</f>
        <v>14.243999999999998</v>
      </c>
    </row>
    <row r="114" spans="1:18" x14ac:dyDescent="0.25">
      <c r="A114" t="s">
        <v>27</v>
      </c>
      <c r="B114" t="str">
        <f t="shared" ref="B114" si="233">IF($G113="","Hide","Show")</f>
        <v>Show</v>
      </c>
      <c r="H114" t="str">
        <f>"24-15 oz"</f>
        <v>24-15 oz</v>
      </c>
    </row>
    <row r="115" spans="1:18" x14ac:dyDescent="0.25">
      <c r="A115" t="s">
        <v>27</v>
      </c>
      <c r="B115" t="str">
        <f t="shared" si="223"/>
        <v>Show</v>
      </c>
      <c r="E115" s="1"/>
      <c r="F115" t="str">
        <f>"""Ceres4"",""TCP-LIVE"",""27"",""1"",""P300011"""</f>
        <v>"Ceres4","TCP-LIVE","27","1","P300011"</v>
      </c>
      <c r="G115" t="str">
        <f>"P300011"</f>
        <v>P300011</v>
      </c>
      <c r="H115" t="str">
        <f>"Vegetable- Sliced Potatoes"</f>
        <v>Vegetable- Sliced Potatoes</v>
      </c>
      <c r="I115" s="5" t="str">
        <f>"CS"</f>
        <v>CS</v>
      </c>
      <c r="J115" s="5">
        <v>26</v>
      </c>
      <c r="K115" s="5">
        <v>0</v>
      </c>
      <c r="L115" t="str">
        <f t="shared" ref="L115" si="234">IFERROR(IF(K115*J115=0,"0",K115*J115),0)</f>
        <v>0</v>
      </c>
      <c r="M115" s="5">
        <v>0</v>
      </c>
      <c r="N115" t="str">
        <f t="shared" ref="N115" si="235">IF(M115*J115=0,"0",M115*J115)</f>
        <v>0</v>
      </c>
      <c r="O115" s="5">
        <v>1.2</v>
      </c>
      <c r="P115" s="5">
        <v>12.11</v>
      </c>
      <c r="Q115" s="5">
        <f t="shared" ref="Q115" si="236">P115*O115</f>
        <v>14.531999999999998</v>
      </c>
      <c r="R115" s="6">
        <f t="shared" ref="R115" si="237">IFERROR(Q115+N115+L115,"")</f>
        <v>14.531999999999998</v>
      </c>
    </row>
    <row r="116" spans="1:18" x14ac:dyDescent="0.25">
      <c r="A116" t="s">
        <v>27</v>
      </c>
      <c r="B116" t="str">
        <f t="shared" ref="B116" si="238">IF($G115="","Hide","Show")</f>
        <v>Show</v>
      </c>
      <c r="H116" t="str">
        <f>"24-15 oz"</f>
        <v>24-15 oz</v>
      </c>
    </row>
    <row r="117" spans="1:18" x14ac:dyDescent="0.25">
      <c r="A117" t="s">
        <v>27</v>
      </c>
      <c r="B117" t="str">
        <f t="shared" si="223"/>
        <v>Show</v>
      </c>
      <c r="E117" s="1"/>
      <c r="F117" t="str">
        <f>"""Ceres4"",""TCP-LIVE"",""27"",""1"",""P300040"""</f>
        <v>"Ceres4","TCP-LIVE","27","1","P300040"</v>
      </c>
      <c r="G117" t="str">
        <f>"P300040"</f>
        <v>P300040</v>
      </c>
      <c r="H117" t="str">
        <f>"Fruit - Fruit cups "</f>
        <v xml:space="preserve">Fruit - Fruit cups </v>
      </c>
      <c r="I117" s="5" t="str">
        <f>"CS"</f>
        <v>CS</v>
      </c>
      <c r="J117" s="5">
        <v>24</v>
      </c>
      <c r="K117" s="5">
        <v>0</v>
      </c>
      <c r="L117" t="str">
        <f t="shared" ref="L117" si="239">IFERROR(IF(K117*J117=0,"0",K117*J117),0)</f>
        <v>0</v>
      </c>
      <c r="M117" s="5">
        <v>0</v>
      </c>
      <c r="N117" t="str">
        <f t="shared" ref="N117" si="240">IF(M117*J117=0,"0",M117*J117)</f>
        <v>0</v>
      </c>
      <c r="O117" s="5">
        <v>1.1000000000000001</v>
      </c>
      <c r="P117" s="5">
        <v>24</v>
      </c>
      <c r="Q117" s="5">
        <f t="shared" ref="Q117" si="241">P117*O117</f>
        <v>26.400000000000002</v>
      </c>
      <c r="R117" s="6">
        <f t="shared" ref="R117" si="242">IFERROR(Q117+N117+L117,"")</f>
        <v>26.400000000000002</v>
      </c>
    </row>
    <row r="118" spans="1:18" x14ac:dyDescent="0.25">
      <c r="A118" t="s">
        <v>27</v>
      </c>
      <c r="B118" t="str">
        <f t="shared" ref="B118" si="243">IF($G117="","Hide","Show")</f>
        <v>Show</v>
      </c>
      <c r="H118" t="str">
        <f>"96 - 3.8 oz"</f>
        <v>96 - 3.8 oz</v>
      </c>
    </row>
    <row r="119" spans="1:18" x14ac:dyDescent="0.25">
      <c r="A119" t="s">
        <v>27</v>
      </c>
      <c r="B119" t="str">
        <f t="shared" si="223"/>
        <v>Show</v>
      </c>
      <c r="E119" s="1"/>
      <c r="F119" t="str">
        <f>"""Ceres4"",""TCP-LIVE"",""27"",""1"",""P300041"""</f>
        <v>"Ceres4","TCP-LIVE","27","1","P300041"</v>
      </c>
      <c r="G119" t="str">
        <f>"P300041"</f>
        <v>P300041</v>
      </c>
      <c r="H119" t="str">
        <f>"Fruit- Sliced Peaches"</f>
        <v>Fruit- Sliced Peaches</v>
      </c>
      <c r="I119" s="5" t="str">
        <f>"CS"</f>
        <v>CS</v>
      </c>
      <c r="J119" s="5">
        <v>17</v>
      </c>
      <c r="K119" s="5">
        <v>0</v>
      </c>
      <c r="L119" t="str">
        <f t="shared" ref="L119" si="244">IFERROR(IF(K119*J119=0,"0",K119*J119),0)</f>
        <v>0</v>
      </c>
      <c r="M119" s="5">
        <v>0</v>
      </c>
      <c r="N119" t="str">
        <f t="shared" ref="N119" si="245">IF(M119*J119=0,"0",M119*J119)</f>
        <v>0</v>
      </c>
      <c r="O119" s="5">
        <v>1.2</v>
      </c>
      <c r="P119" s="5">
        <v>11.61</v>
      </c>
      <c r="Q119" s="5">
        <f t="shared" ref="Q119" si="246">P119*O119</f>
        <v>13.931999999999999</v>
      </c>
      <c r="R119" s="6">
        <f t="shared" ref="R119" si="247">IFERROR(Q119+N119+L119,"")</f>
        <v>13.931999999999999</v>
      </c>
    </row>
    <row r="120" spans="1:18" x14ac:dyDescent="0.25">
      <c r="A120" t="s">
        <v>27</v>
      </c>
      <c r="B120" t="str">
        <f t="shared" ref="B120" si="248">IF($G119="","Hide","Show")</f>
        <v>Show</v>
      </c>
      <c r="H120" t="str">
        <f>"24 - 11 oz"</f>
        <v>24 - 11 oz</v>
      </c>
    </row>
    <row r="121" spans="1:18" x14ac:dyDescent="0.25">
      <c r="A121" t="s">
        <v>27</v>
      </c>
      <c r="B121" t="str">
        <f t="shared" si="223"/>
        <v>Show</v>
      </c>
      <c r="E121" s="1"/>
      <c r="F121" t="str">
        <f>"""Ceres4"",""TCP-LIVE"",""27"",""1"",""P319990"""</f>
        <v>"Ceres4","TCP-LIVE","27","1","P319990"</v>
      </c>
      <c r="G121" t="str">
        <f>"P319990"</f>
        <v>P319990</v>
      </c>
      <c r="H121" t="str">
        <f>"Vegetable - Hot Green Chili"</f>
        <v>Vegetable - Hot Green Chili</v>
      </c>
      <c r="I121" s="5" t="str">
        <f>"BAG"</f>
        <v>BAG</v>
      </c>
      <c r="J121" s="5">
        <v>5</v>
      </c>
      <c r="K121" s="5">
        <v>0</v>
      </c>
      <c r="L121" t="str">
        <f t="shared" ref="L121" si="249">IFERROR(IF(K121*J121=0,"0",K121*J121),0)</f>
        <v>0</v>
      </c>
      <c r="M121" s="5">
        <v>0</v>
      </c>
      <c r="N121" t="str">
        <f t="shared" ref="N121" si="250">IF(M121*J121=0,"0",M121*J121)</f>
        <v>0</v>
      </c>
      <c r="O121" s="5">
        <v>1.1000000000000001</v>
      </c>
      <c r="P121" s="5">
        <v>6.6210000000000004</v>
      </c>
      <c r="Q121" s="5">
        <f t="shared" ref="Q121" si="251">P121*O121</f>
        <v>7.283100000000001</v>
      </c>
      <c r="R121" s="6">
        <f t="shared" ref="R121" si="252">IFERROR(Q121+N121+L121,"")</f>
        <v>7.283100000000001</v>
      </c>
    </row>
    <row r="122" spans="1:18" x14ac:dyDescent="0.25">
      <c r="A122" t="s">
        <v>27</v>
      </c>
      <c r="B122" t="str">
        <f t="shared" ref="B122" si="253">IF($G121="","Hide","Show")</f>
        <v>Show</v>
      </c>
      <c r="H122" t="str">
        <f>"5 lb bag"</f>
        <v>5 lb bag</v>
      </c>
    </row>
    <row r="123" spans="1:18" x14ac:dyDescent="0.25">
      <c r="A123" t="s">
        <v>27</v>
      </c>
      <c r="B123" t="str">
        <f t="shared" si="223"/>
        <v>Show</v>
      </c>
      <c r="E123" s="1"/>
      <c r="F123" t="str">
        <f>"""Ceres4"",""TCP-LIVE"",""27"",""1"",""P320009"""</f>
        <v>"Ceres4","TCP-LIVE","27","1","P320009"</v>
      </c>
      <c r="G123" t="str">
        <f>"P320009"</f>
        <v>P320009</v>
      </c>
      <c r="H123" t="str">
        <f>"Vegetable - Dhy Shred Hash Browns"</f>
        <v>Vegetable - Dhy Shred Hash Browns</v>
      </c>
      <c r="I123" s="5" t="str">
        <f>"EA"</f>
        <v>EA</v>
      </c>
      <c r="J123" s="5">
        <v>3</v>
      </c>
      <c r="K123" s="5">
        <v>0</v>
      </c>
      <c r="L123" t="str">
        <f t="shared" ref="L123" si="254">IFERROR(IF(K123*J123=0,"0",K123*J123),0)</f>
        <v>0</v>
      </c>
      <c r="M123" s="5">
        <v>0</v>
      </c>
      <c r="N123" t="str">
        <f t="shared" ref="N123" si="255">IF(M123*J123=0,"0",M123*J123)</f>
        <v>0</v>
      </c>
      <c r="O123" s="5">
        <v>1.1000000000000001</v>
      </c>
      <c r="P123" s="5">
        <v>7.4466700000000001</v>
      </c>
      <c r="Q123" s="5">
        <f t="shared" ref="Q123" si="256">P123*O123</f>
        <v>8.1913370000000008</v>
      </c>
      <c r="R123" s="6">
        <f t="shared" ref="R123" si="257">IFERROR(Q123+N123+L123,"")</f>
        <v>8.1913370000000008</v>
      </c>
    </row>
    <row r="124" spans="1:18" x14ac:dyDescent="0.25">
      <c r="A124" t="s">
        <v>27</v>
      </c>
      <c r="B124" t="str">
        <f t="shared" ref="B124" si="258">IF($G123="","Hide","Show")</f>
        <v>Show</v>
      </c>
      <c r="H124" t="str">
        <f>"1-2.5 oz box"</f>
        <v>1-2.5 oz box</v>
      </c>
    </row>
    <row r="125" spans="1:18" x14ac:dyDescent="0.25">
      <c r="A125" t="s">
        <v>27</v>
      </c>
      <c r="B125" t="str">
        <f t="shared" ref="B125" si="259">IF($G111="","Hide","Show")</f>
        <v>Show</v>
      </c>
    </row>
    <row r="126" spans="1:18" ht="17.25" hidden="1" x14ac:dyDescent="0.3">
      <c r="A126" t="s">
        <v>27</v>
      </c>
      <c r="B126" t="str">
        <f t="shared" ref="B126" si="260">IF($G127="","Hide","Show")</f>
        <v>Hide</v>
      </c>
      <c r="C126" t="str">
        <f>"""Ceres4"",""TCP-LIVE"",""14012281"",""1"",""GRAIN"""</f>
        <v>"Ceres4","TCP-LIVE","14012281","1","GRAIN"</v>
      </c>
      <c r="D126" t="s">
        <v>41</v>
      </c>
      <c r="E126" s="9" t="s">
        <v>10</v>
      </c>
      <c r="F126" s="2"/>
      <c r="G126" s="8" t="s">
        <v>102</v>
      </c>
    </row>
    <row r="127" spans="1:18" hidden="1" x14ac:dyDescent="0.25">
      <c r="A127" t="s">
        <v>27</v>
      </c>
      <c r="B127" t="str">
        <f t="shared" ref="B127" si="261">IF($G127="","Hide","Show")</f>
        <v>Hide</v>
      </c>
      <c r="E127" s="1"/>
      <c r="F127" t="s">
        <v>28</v>
      </c>
      <c r="G127" t="s">
        <v>28</v>
      </c>
      <c r="H127" t="s">
        <v>28</v>
      </c>
      <c r="I127" s="5" t="s">
        <v>28</v>
      </c>
      <c r="J127" s="5" t="s">
        <v>28</v>
      </c>
      <c r="K127" s="5" t="s">
        <v>96</v>
      </c>
      <c r="L127">
        <f t="shared" ref="L127" si="262">IFERROR(IF(K127*J127=0,"0",K127*J127),0)</f>
        <v>0</v>
      </c>
      <c r="M127" s="5" t="s">
        <v>28</v>
      </c>
      <c r="N127" t="e">
        <f t="shared" ref="N127" si="263">IF(M127*J127=0,"0",M127*J127)</f>
        <v>#VALUE!</v>
      </c>
      <c r="O127" s="5" t="s">
        <v>28</v>
      </c>
      <c r="P127" s="5" t="s">
        <v>28</v>
      </c>
      <c r="Q127" s="5" t="e">
        <f t="shared" ref="Q127" si="264">P127*O127</f>
        <v>#VALUE!</v>
      </c>
      <c r="R127" s="6" t="str">
        <f t="shared" ref="R127" si="265">IFERROR(Q127+N127+L127,"")</f>
        <v/>
      </c>
    </row>
    <row r="128" spans="1:18" hidden="1" x14ac:dyDescent="0.25">
      <c r="A128" t="s">
        <v>27</v>
      </c>
      <c r="B128" t="str">
        <f t="shared" ref="B128" si="266">IF($G127="","Hide","Show")</f>
        <v>Hide</v>
      </c>
      <c r="H128" t="s">
        <v>28</v>
      </c>
    </row>
    <row r="129" spans="1:18" hidden="1" x14ac:dyDescent="0.25">
      <c r="A129" t="s">
        <v>27</v>
      </c>
      <c r="B129" t="str">
        <f t="shared" ref="B129" si="267">IF($G127="","Hide","Show")</f>
        <v>Hide</v>
      </c>
    </row>
    <row r="130" spans="1:18" ht="17.25" x14ac:dyDescent="0.3">
      <c r="A130" t="s">
        <v>27</v>
      </c>
      <c r="B130" t="str">
        <f t="shared" ref="B130" si="268">IF($G131="","Hide","Show")</f>
        <v>Show</v>
      </c>
      <c r="C130" t="str">
        <f>"""Ceres4"",""TCP-LIVE"",""14012281"",""1"",""HOUSE PAP"""</f>
        <v>"Ceres4","TCP-LIVE","14012281","1","HOUSE PAP"</v>
      </c>
      <c r="D130" t="s">
        <v>42</v>
      </c>
      <c r="E130" s="9" t="s">
        <v>10</v>
      </c>
      <c r="F130" s="2"/>
      <c r="G130" s="8" t="s">
        <v>103</v>
      </c>
    </row>
    <row r="131" spans="1:18" x14ac:dyDescent="0.25">
      <c r="A131" t="s">
        <v>27</v>
      </c>
      <c r="B131" t="str">
        <f t="shared" ref="B131" si="269">IF($G131="","Hide","Show")</f>
        <v>Show</v>
      </c>
      <c r="E131" s="1"/>
      <c r="F131" t="s">
        <v>108</v>
      </c>
      <c r="G131" t="s">
        <v>104</v>
      </c>
      <c r="H131" t="s">
        <v>106</v>
      </c>
      <c r="I131" s="5" t="s">
        <v>95</v>
      </c>
      <c r="J131" s="5">
        <v>8</v>
      </c>
      <c r="K131" s="5">
        <v>0</v>
      </c>
      <c r="L131" t="str">
        <f t="shared" ref="L131" si="270">IFERROR(IF(K131*J131=0,"0",K131*J131),0)</f>
        <v>0</v>
      </c>
      <c r="M131" s="5">
        <v>0</v>
      </c>
      <c r="N131" t="str">
        <f t="shared" ref="N131" si="271">IF(M131*J131=0,"0",M131*J131)</f>
        <v>0</v>
      </c>
      <c r="O131" s="5">
        <v>1.2</v>
      </c>
      <c r="P131" s="5">
        <v>14.27</v>
      </c>
      <c r="Q131" s="5">
        <f t="shared" ref="Q131" si="272">P131*O131</f>
        <v>17.123999999999999</v>
      </c>
      <c r="R131" s="6">
        <f t="shared" ref="R131" si="273">IFERROR(Q131+N131+L131,"")</f>
        <v>17.123999999999999</v>
      </c>
    </row>
    <row r="132" spans="1:18" x14ac:dyDescent="0.25">
      <c r="A132" t="s">
        <v>27</v>
      </c>
      <c r="B132" t="str">
        <f t="shared" ref="B132" si="274">IF($G131="","Hide","Show")</f>
        <v>Show</v>
      </c>
      <c r="H132" t="s">
        <v>107</v>
      </c>
    </row>
    <row r="133" spans="1:18" x14ac:dyDescent="0.25">
      <c r="A133" t="s">
        <v>27</v>
      </c>
      <c r="B133" t="str">
        <f t="shared" ref="B133" si="275">IF($G131="","Hide","Show")</f>
        <v>Show</v>
      </c>
    </row>
    <row r="134" spans="1:18" ht="17.25" x14ac:dyDescent="0.3">
      <c r="A134" t="s">
        <v>27</v>
      </c>
      <c r="B134" t="str">
        <f t="shared" ref="B134" si="276">IF($G135="","Hide","Show")</f>
        <v>Show</v>
      </c>
      <c r="C134" t="str">
        <f>"""Ceres4"",""TCP-LIVE"",""14012281"",""1"",""HOUSE/SAN"""</f>
        <v>"Ceres4","TCP-LIVE","14012281","1","HOUSE/SAN"</v>
      </c>
      <c r="D134" t="s">
        <v>43</v>
      </c>
      <c r="E134" s="9" t="s">
        <v>10</v>
      </c>
      <c r="F134" s="2"/>
      <c r="G134" s="8" t="s">
        <v>105</v>
      </c>
    </row>
    <row r="135" spans="1:18" x14ac:dyDescent="0.25">
      <c r="A135" t="s">
        <v>27</v>
      </c>
      <c r="B135" t="str">
        <f t="shared" ref="B135:B141" si="277">IF($G135="","Hide","Show")</f>
        <v>Show</v>
      </c>
      <c r="E135" s="1"/>
      <c r="F135" t="s">
        <v>109</v>
      </c>
      <c r="G135" t="str">
        <f>"P970004"</f>
        <v>P970004</v>
      </c>
      <c r="H135" t="str">
        <f>"Personal Health - Dems Deodorant Stick"</f>
        <v>Personal Health - Dems Deodorant Stick</v>
      </c>
      <c r="I135" s="5" t="str">
        <f>"CS"</f>
        <v>CS</v>
      </c>
      <c r="J135" s="5">
        <v>4</v>
      </c>
      <c r="K135" s="5">
        <v>0</v>
      </c>
      <c r="L135" t="str">
        <f t="shared" ref="L135" si="278">IFERROR(IF(K135*J135=0,"0",K135*J135),0)</f>
        <v>0</v>
      </c>
      <c r="M135" s="5">
        <v>0</v>
      </c>
      <c r="N135" t="str">
        <f t="shared" ref="N135" si="279">IF(M135*J135=0,"0",M135*J135)</f>
        <v>0</v>
      </c>
      <c r="O135" s="5">
        <v>1.1000000000000001</v>
      </c>
      <c r="P135" s="5">
        <v>14.45</v>
      </c>
      <c r="Q135" s="5">
        <f t="shared" ref="Q135" si="280">P135*O135</f>
        <v>15.895000000000001</v>
      </c>
      <c r="R135" s="6">
        <f t="shared" ref="R135" si="281">IFERROR(Q135+N135+L135,"")</f>
        <v>15.895000000000001</v>
      </c>
    </row>
    <row r="136" spans="1:18" x14ac:dyDescent="0.25">
      <c r="A136" t="s">
        <v>27</v>
      </c>
      <c r="B136" t="str">
        <f t="shared" ref="B136" si="282">IF($G135="","Hide","Show")</f>
        <v>Show</v>
      </c>
      <c r="H136" t="str">
        <f>"12-1.8 oz"</f>
        <v>12-1.8 oz</v>
      </c>
    </row>
    <row r="137" spans="1:18" x14ac:dyDescent="0.25">
      <c r="A137" t="s">
        <v>27</v>
      </c>
      <c r="B137" t="str">
        <f t="shared" si="277"/>
        <v>Show</v>
      </c>
      <c r="E137" s="1"/>
      <c r="F137" t="str">
        <f>"""Ceres4"",""TCP-LIVE"",""27"",""1"",""P970005"""</f>
        <v>"Ceres4","TCP-LIVE","27","1","P970005"</v>
      </c>
      <c r="G137" t="str">
        <f>"P970005"</f>
        <v>P970005</v>
      </c>
      <c r="H137" t="str">
        <f>"Personal Health - Toothbrush"</f>
        <v>Personal Health - Toothbrush</v>
      </c>
      <c r="I137" s="5" t="str">
        <f>"CS"</f>
        <v>CS</v>
      </c>
      <c r="J137" s="5">
        <v>3</v>
      </c>
      <c r="K137" s="5">
        <v>0</v>
      </c>
      <c r="L137" t="str">
        <f t="shared" ref="L137" si="283">IFERROR(IF(K137*J137=0,"0",K137*J137),0)</f>
        <v>0</v>
      </c>
      <c r="M137" s="5">
        <v>0</v>
      </c>
      <c r="N137" t="str">
        <f t="shared" ref="N137" si="284">IF(M137*J137=0,"0",M137*J137)</f>
        <v>0</v>
      </c>
      <c r="O137" s="5">
        <v>1.1000000000000001</v>
      </c>
      <c r="P137" s="5">
        <v>12.71</v>
      </c>
      <c r="Q137" s="5">
        <f t="shared" ref="Q137" si="285">P137*O137</f>
        <v>13.981000000000002</v>
      </c>
      <c r="R137" s="6">
        <f t="shared" ref="R137" si="286">IFERROR(Q137+N137+L137,"")</f>
        <v>13.981000000000002</v>
      </c>
    </row>
    <row r="138" spans="1:18" x14ac:dyDescent="0.25">
      <c r="A138" t="s">
        <v>27</v>
      </c>
      <c r="B138" t="str">
        <f t="shared" ref="B138" si="287">IF($G137="","Hide","Show")</f>
        <v>Show</v>
      </c>
      <c r="H138" t="str">
        <f>"48-1 ct."</f>
        <v>48-1 ct.</v>
      </c>
    </row>
    <row r="139" spans="1:18" x14ac:dyDescent="0.25">
      <c r="A139" t="s">
        <v>27</v>
      </c>
      <c r="B139" t="str">
        <f t="shared" si="277"/>
        <v>Show</v>
      </c>
      <c r="E139" s="1"/>
      <c r="F139" t="str">
        <f>"""Ceres4"",""TCP-LIVE"",""27"",""1"",""P970006"""</f>
        <v>"Ceres4","TCP-LIVE","27","1","P970006"</v>
      </c>
      <c r="G139" t="str">
        <f>"P970006"</f>
        <v>P970006</v>
      </c>
      <c r="H139" t="str">
        <f>"Personal Health - Toothpaste"</f>
        <v>Personal Health - Toothpaste</v>
      </c>
      <c r="I139" s="5" t="str">
        <f>"CS"</f>
        <v>CS</v>
      </c>
      <c r="J139" s="5">
        <v>38</v>
      </c>
      <c r="K139" s="5">
        <v>0</v>
      </c>
      <c r="L139" t="str">
        <f t="shared" ref="L139" si="288">IFERROR(IF(K139*J139=0,"0",K139*J139),0)</f>
        <v>0</v>
      </c>
      <c r="M139" s="5">
        <v>0</v>
      </c>
      <c r="N139" t="str">
        <f t="shared" ref="N139" si="289">IF(M139*J139=0,"0",M139*J139)</f>
        <v>0</v>
      </c>
      <c r="O139" s="5">
        <v>1.1000000000000001</v>
      </c>
      <c r="P139" s="5">
        <v>51.11</v>
      </c>
      <c r="Q139" s="5">
        <f t="shared" ref="Q139" si="290">P139*O139</f>
        <v>56.221000000000004</v>
      </c>
      <c r="R139" s="6">
        <f t="shared" ref="R139" si="291">IFERROR(Q139+N139+L139,"")</f>
        <v>56.221000000000004</v>
      </c>
    </row>
    <row r="140" spans="1:18" x14ac:dyDescent="0.25">
      <c r="A140" t="s">
        <v>27</v>
      </c>
      <c r="B140" t="str">
        <f t="shared" ref="B140" si="292">IF($G139="","Hide","Show")</f>
        <v>Show</v>
      </c>
      <c r="H140" t="str">
        <f>"144-3.5 oz"</f>
        <v>144-3.5 oz</v>
      </c>
    </row>
    <row r="141" spans="1:18" x14ac:dyDescent="0.25">
      <c r="A141" t="s">
        <v>27</v>
      </c>
      <c r="B141" t="str">
        <f t="shared" si="277"/>
        <v>Show</v>
      </c>
      <c r="E141" s="1"/>
      <c r="F141" t="str">
        <f>"""Ceres4"",""TCP-LIVE"",""27"",""1"",""P970008"""</f>
        <v>"Ceres4","TCP-LIVE","27","1","P970008"</v>
      </c>
      <c r="G141" t="str">
        <f>"P970008"</f>
        <v>P970008</v>
      </c>
      <c r="H141" t="str">
        <f>"Personal Health - Baby Wipes"</f>
        <v>Personal Health - Baby Wipes</v>
      </c>
      <c r="I141" s="5" t="str">
        <f>"CS"</f>
        <v>CS</v>
      </c>
      <c r="J141" s="5">
        <v>19</v>
      </c>
      <c r="K141" s="5">
        <v>0</v>
      </c>
      <c r="L141" t="str">
        <f t="shared" ref="L141" si="293">IFERROR(IF(K141*J141=0,"0",K141*J141),0)</f>
        <v>0</v>
      </c>
      <c r="M141" s="5">
        <v>0</v>
      </c>
      <c r="N141" t="str">
        <f t="shared" ref="N141" si="294">IF(M141*J141=0,"0",M141*J141)</f>
        <v>0</v>
      </c>
      <c r="O141" s="5">
        <v>1.1000000000000001</v>
      </c>
      <c r="P141" s="5">
        <v>17.63</v>
      </c>
      <c r="Q141" s="5">
        <f t="shared" ref="Q141" si="295">P141*O141</f>
        <v>19.393000000000001</v>
      </c>
      <c r="R141" s="6">
        <f t="shared" ref="R141" si="296">IFERROR(Q141+N141+L141,"")</f>
        <v>19.393000000000001</v>
      </c>
    </row>
    <row r="142" spans="1:18" x14ac:dyDescent="0.25">
      <c r="A142" t="s">
        <v>27</v>
      </c>
      <c r="B142" t="str">
        <f t="shared" ref="B142" si="297">IF($G141="","Hide","Show")</f>
        <v>Show</v>
      </c>
      <c r="H142" t="str">
        <f>"24-100 ct."</f>
        <v>24-100 ct.</v>
      </c>
    </row>
    <row r="143" spans="1:18" x14ac:dyDescent="0.25">
      <c r="A143" t="s">
        <v>27</v>
      </c>
      <c r="B143" t="str">
        <f t="shared" ref="B143" si="298">IF($G135="","Hide","Show")</f>
        <v>Show</v>
      </c>
    </row>
    <row r="144" spans="1:18" ht="17.25" x14ac:dyDescent="0.3">
      <c r="A144" t="s">
        <v>27</v>
      </c>
      <c r="B144" t="str">
        <f t="shared" ref="B144" si="299">IF($G145="","Hide","Show")</f>
        <v>Show</v>
      </c>
      <c r="C144" t="str">
        <f>"""Ceres4"",""TCP-LIVE"",""14012281"",""1"",""JUICE"""</f>
        <v>"Ceres4","TCP-LIVE","14012281","1","JUICE"</v>
      </c>
      <c r="D144" t="s">
        <v>44</v>
      </c>
      <c r="E144" s="9" t="s">
        <v>10</v>
      </c>
      <c r="F144" s="2"/>
      <c r="G144" s="8" t="s">
        <v>62</v>
      </c>
    </row>
    <row r="145" spans="1:18" x14ac:dyDescent="0.25">
      <c r="A145" t="s">
        <v>27</v>
      </c>
      <c r="B145" t="str">
        <f t="shared" ref="B145" si="300">IF($G145="","Hide","Show")</f>
        <v>Show</v>
      </c>
      <c r="E145" s="1"/>
      <c r="F145" t="s">
        <v>100</v>
      </c>
      <c r="G145" t="s">
        <v>63</v>
      </c>
      <c r="H145" t="s">
        <v>85</v>
      </c>
      <c r="I145" s="5" t="s">
        <v>95</v>
      </c>
      <c r="J145" s="5">
        <v>15</v>
      </c>
      <c r="K145" s="5">
        <v>0.19</v>
      </c>
      <c r="L145">
        <f t="shared" ref="L145" si="301">IFERROR(IF(K145*J145=0,"0",K145*J145),0)</f>
        <v>2.85</v>
      </c>
      <c r="M145" s="5">
        <v>0</v>
      </c>
      <c r="N145" t="str">
        <f t="shared" ref="N145" si="302">IF(M145*J145=0,"0",M145*J145)</f>
        <v>0</v>
      </c>
      <c r="O145" s="5">
        <v>1</v>
      </c>
      <c r="P145" s="5">
        <v>0</v>
      </c>
      <c r="Q145" s="5">
        <f t="shared" ref="Q145" si="303">P145*O145</f>
        <v>0</v>
      </c>
      <c r="R145" s="6">
        <f t="shared" ref="R145" si="304">IFERROR(Q145+N145+L145,"")</f>
        <v>2.85</v>
      </c>
    </row>
    <row r="146" spans="1:18" x14ac:dyDescent="0.25">
      <c r="A146" t="s">
        <v>27</v>
      </c>
      <c r="B146" t="str">
        <f t="shared" ref="B146" si="305">IF($G145="","Hide","Show")</f>
        <v>Show</v>
      </c>
      <c r="H146" t="s">
        <v>86</v>
      </c>
    </row>
    <row r="147" spans="1:18" x14ac:dyDescent="0.25">
      <c r="A147" t="s">
        <v>27</v>
      </c>
      <c r="B147" t="str">
        <f t="shared" ref="B147" si="306">IF($G145="","Hide","Show")</f>
        <v>Show</v>
      </c>
    </row>
    <row r="148" spans="1:18" ht="17.25" hidden="1" x14ac:dyDescent="0.3">
      <c r="A148" t="s">
        <v>27</v>
      </c>
      <c r="B148" t="str">
        <f t="shared" ref="B148" si="307">IF($G149="","Hide","Show")</f>
        <v>Hide</v>
      </c>
      <c r="C148" t="str">
        <f>"""Ceres4"",""TCP-LIVE"",""14012281"",""1"",""MIXED/ASST"""</f>
        <v>"Ceres4","TCP-LIVE","14012281","1","MIXED/ASST"</v>
      </c>
      <c r="D148" t="s">
        <v>45</v>
      </c>
      <c r="E148" s="9" t="s">
        <v>10</v>
      </c>
      <c r="F148" s="2"/>
      <c r="G148" s="8" t="s">
        <v>64</v>
      </c>
    </row>
    <row r="149" spans="1:18" hidden="1" x14ac:dyDescent="0.25">
      <c r="A149" t="s">
        <v>27</v>
      </c>
      <c r="B149" t="str">
        <f t="shared" ref="B149" si="308">IF($G149="","Hide","Show")</f>
        <v>Hide</v>
      </c>
      <c r="E149" s="1"/>
      <c r="F149" t="s">
        <v>28</v>
      </c>
      <c r="G149" t="s">
        <v>28</v>
      </c>
      <c r="H149" t="s">
        <v>28</v>
      </c>
      <c r="I149" s="5" t="s">
        <v>28</v>
      </c>
      <c r="J149" s="5" t="s">
        <v>28</v>
      </c>
      <c r="K149" s="5" t="s">
        <v>96</v>
      </c>
      <c r="L149">
        <f t="shared" ref="L149" si="309">IFERROR(IF(K149*J149=0,"0",K149*J149),0)</f>
        <v>0</v>
      </c>
      <c r="M149" s="5" t="s">
        <v>28</v>
      </c>
      <c r="N149" t="e">
        <f t="shared" ref="N149" si="310">IF(M149*J149=0,"0",M149*J149)</f>
        <v>#VALUE!</v>
      </c>
      <c r="O149" s="5" t="s">
        <v>28</v>
      </c>
      <c r="P149" s="5" t="s">
        <v>28</v>
      </c>
      <c r="Q149" s="5" t="e">
        <f t="shared" ref="Q149" si="311">P149*O149</f>
        <v>#VALUE!</v>
      </c>
      <c r="R149" s="6" t="str">
        <f t="shared" ref="R149" si="312">IFERROR(Q149+N149+L149,"")</f>
        <v/>
      </c>
    </row>
    <row r="150" spans="1:18" hidden="1" x14ac:dyDescent="0.25">
      <c r="A150" t="s">
        <v>27</v>
      </c>
      <c r="B150" t="str">
        <f t="shared" ref="B150" si="313">IF($G149="","Hide","Show")</f>
        <v>Hide</v>
      </c>
      <c r="H150" t="s">
        <v>28</v>
      </c>
    </row>
    <row r="151" spans="1:18" hidden="1" x14ac:dyDescent="0.25">
      <c r="A151" t="s">
        <v>27</v>
      </c>
      <c r="B151" t="str">
        <f t="shared" ref="B151" si="314">IF($G149="","Hide","Show")</f>
        <v>Hide</v>
      </c>
    </row>
    <row r="152" spans="1:18" ht="17.25" hidden="1" x14ac:dyDescent="0.3">
      <c r="A152" t="s">
        <v>27</v>
      </c>
      <c r="B152" t="str">
        <f t="shared" ref="B152" si="315">IF($G153="","Hide","Show")</f>
        <v>Hide</v>
      </c>
      <c r="C152" t="str">
        <f>"""Ceres4"",""TCP-LIVE"",""14012281"",""1"",""NF"""</f>
        <v>"Ceres4","TCP-LIVE","14012281","1","NF"</v>
      </c>
      <c r="D152" t="s">
        <v>46</v>
      </c>
      <c r="E152" s="9" t="s">
        <v>10</v>
      </c>
      <c r="F152" s="2"/>
      <c r="G152" s="8" t="s">
        <v>65</v>
      </c>
    </row>
    <row r="153" spans="1:18" hidden="1" x14ac:dyDescent="0.25">
      <c r="A153" t="s">
        <v>27</v>
      </c>
      <c r="B153" t="str">
        <f t="shared" ref="B153" si="316">IF($G153="","Hide","Show")</f>
        <v>Hide</v>
      </c>
      <c r="E153" s="1"/>
      <c r="F153" t="s">
        <v>28</v>
      </c>
      <c r="G153" t="s">
        <v>28</v>
      </c>
      <c r="H153" t="s">
        <v>28</v>
      </c>
      <c r="I153" s="5" t="s">
        <v>28</v>
      </c>
      <c r="J153" s="5" t="s">
        <v>28</v>
      </c>
      <c r="K153" s="5" t="s">
        <v>96</v>
      </c>
      <c r="L153">
        <f t="shared" ref="L153" si="317">IFERROR(IF(K153*J153=0,"0",K153*J153),0)</f>
        <v>0</v>
      </c>
      <c r="M153" s="5" t="s">
        <v>28</v>
      </c>
      <c r="N153" t="e">
        <f t="shared" ref="N153" si="318">IF(M153*J153=0,"0",M153*J153)</f>
        <v>#VALUE!</v>
      </c>
      <c r="O153" s="5" t="s">
        <v>28</v>
      </c>
      <c r="P153" s="5" t="s">
        <v>28</v>
      </c>
      <c r="Q153" s="5" t="e">
        <f t="shared" ref="Q153" si="319">P153*O153</f>
        <v>#VALUE!</v>
      </c>
      <c r="R153" s="6" t="str">
        <f t="shared" ref="R153" si="320">IFERROR(Q153+N153+L153,"")</f>
        <v/>
      </c>
    </row>
    <row r="154" spans="1:18" hidden="1" x14ac:dyDescent="0.25">
      <c r="A154" t="s">
        <v>27</v>
      </c>
      <c r="B154" t="str">
        <f t="shared" ref="B154" si="321">IF($G153="","Hide","Show")</f>
        <v>Hide</v>
      </c>
      <c r="H154" t="s">
        <v>28</v>
      </c>
    </row>
    <row r="155" spans="1:18" hidden="1" x14ac:dyDescent="0.25">
      <c r="A155" t="s">
        <v>27</v>
      </c>
      <c r="B155" t="str">
        <f t="shared" ref="B155" si="322">IF($G153="","Hide","Show")</f>
        <v>Hide</v>
      </c>
    </row>
    <row r="156" spans="1:18" ht="17.25" hidden="1" x14ac:dyDescent="0.3">
      <c r="A156" t="s">
        <v>27</v>
      </c>
      <c r="B156" t="str">
        <f t="shared" ref="B156" si="323">IF($G157="","Hide","Show")</f>
        <v>Hide</v>
      </c>
      <c r="C156" t="str">
        <f>"""Ceres4"",""TCP-LIVE"",""14012281"",""1"",""NONDAIRY"""</f>
        <v>"Ceres4","TCP-LIVE","14012281","1","NONDAIRY"</v>
      </c>
      <c r="D156" t="s">
        <v>47</v>
      </c>
      <c r="E156" s="9" t="s">
        <v>10</v>
      </c>
      <c r="F156" s="2"/>
      <c r="G156" s="8" t="s">
        <v>66</v>
      </c>
    </row>
    <row r="157" spans="1:18" hidden="1" x14ac:dyDescent="0.25">
      <c r="A157" t="s">
        <v>27</v>
      </c>
      <c r="B157" t="str">
        <f t="shared" ref="B157" si="324">IF($G157="","Hide","Show")</f>
        <v>Hide</v>
      </c>
      <c r="E157" s="1"/>
      <c r="F157" t="s">
        <v>28</v>
      </c>
      <c r="G157" t="s">
        <v>28</v>
      </c>
      <c r="H157" t="s">
        <v>28</v>
      </c>
      <c r="I157" s="5" t="s">
        <v>28</v>
      </c>
      <c r="J157" s="5" t="s">
        <v>28</v>
      </c>
      <c r="K157" s="5" t="s">
        <v>96</v>
      </c>
      <c r="L157">
        <f t="shared" ref="L157" si="325">IFERROR(IF(K157*J157=0,"0",K157*J157),0)</f>
        <v>0</v>
      </c>
      <c r="M157" s="5" t="s">
        <v>28</v>
      </c>
      <c r="N157" t="e">
        <f t="shared" ref="N157" si="326">IF(M157*J157=0,"0",M157*J157)</f>
        <v>#VALUE!</v>
      </c>
      <c r="O157" s="5" t="s">
        <v>28</v>
      </c>
      <c r="P157" s="5" t="s">
        <v>28</v>
      </c>
      <c r="Q157" s="5" t="e">
        <f t="shared" ref="Q157" si="327">P157*O157</f>
        <v>#VALUE!</v>
      </c>
      <c r="R157" s="6" t="str">
        <f t="shared" ref="R157" si="328">IFERROR(Q157+N157+L157,"")</f>
        <v/>
      </c>
    </row>
    <row r="158" spans="1:18" hidden="1" x14ac:dyDescent="0.25">
      <c r="A158" t="s">
        <v>27</v>
      </c>
      <c r="B158" t="str">
        <f t="shared" ref="B158" si="329">IF($G157="","Hide","Show")</f>
        <v>Hide</v>
      </c>
      <c r="H158" t="s">
        <v>28</v>
      </c>
    </row>
    <row r="159" spans="1:18" hidden="1" x14ac:dyDescent="0.25">
      <c r="A159" t="s">
        <v>27</v>
      </c>
      <c r="B159" t="str">
        <f t="shared" ref="B159" si="330">IF($G157="","Hide","Show")</f>
        <v>Hide</v>
      </c>
    </row>
    <row r="160" spans="1:18" ht="17.25" hidden="1" x14ac:dyDescent="0.3">
      <c r="A160" t="s">
        <v>27</v>
      </c>
      <c r="B160" t="str">
        <f t="shared" ref="B160" si="331">IF($G161="","Hide","Show")</f>
        <v>Hide</v>
      </c>
      <c r="C160" t="str">
        <f>"""Ceres4"",""TCP-LIVE"",""14012281"",""1"",""NUTRITION"""</f>
        <v>"Ceres4","TCP-LIVE","14012281","1","NUTRITION"</v>
      </c>
      <c r="D160" t="s">
        <v>48</v>
      </c>
      <c r="E160" s="9" t="s">
        <v>10</v>
      </c>
      <c r="F160" s="2"/>
      <c r="G160" s="8" t="s">
        <v>67</v>
      </c>
    </row>
    <row r="161" spans="1:18" hidden="1" x14ac:dyDescent="0.25">
      <c r="A161" t="s">
        <v>27</v>
      </c>
      <c r="B161" t="str">
        <f t="shared" ref="B161" si="332">IF($G161="","Hide","Show")</f>
        <v>Hide</v>
      </c>
      <c r="E161" s="1"/>
      <c r="F161" t="s">
        <v>28</v>
      </c>
      <c r="G161" t="s">
        <v>28</v>
      </c>
      <c r="H161" t="s">
        <v>28</v>
      </c>
      <c r="I161" s="5" t="s">
        <v>28</v>
      </c>
      <c r="J161" s="5" t="s">
        <v>28</v>
      </c>
      <c r="K161" s="5" t="s">
        <v>96</v>
      </c>
      <c r="L161">
        <f t="shared" ref="L161" si="333">IFERROR(IF(K161*J161=0,"0",K161*J161),0)</f>
        <v>0</v>
      </c>
      <c r="M161" s="5" t="s">
        <v>28</v>
      </c>
      <c r="N161" t="e">
        <f t="shared" ref="N161" si="334">IF(M161*J161=0,"0",M161*J161)</f>
        <v>#VALUE!</v>
      </c>
      <c r="O161" s="5" t="s">
        <v>28</v>
      </c>
      <c r="P161" s="5" t="s">
        <v>28</v>
      </c>
      <c r="Q161" s="5" t="e">
        <f t="shared" ref="Q161" si="335">P161*O161</f>
        <v>#VALUE!</v>
      </c>
      <c r="R161" s="6" t="str">
        <f t="shared" ref="R161" si="336">IFERROR(Q161+N161+L161,"")</f>
        <v/>
      </c>
    </row>
    <row r="162" spans="1:18" hidden="1" x14ac:dyDescent="0.25">
      <c r="A162" t="s">
        <v>27</v>
      </c>
      <c r="B162" t="str">
        <f t="shared" ref="B162" si="337">IF($G161="","Hide","Show")</f>
        <v>Hide</v>
      </c>
      <c r="H162" t="s">
        <v>28</v>
      </c>
    </row>
    <row r="163" spans="1:18" hidden="1" x14ac:dyDescent="0.25">
      <c r="A163" t="s">
        <v>27</v>
      </c>
      <c r="B163" t="str">
        <f t="shared" ref="B163" si="338">IF($G161="","Hide","Show")</f>
        <v>Hide</v>
      </c>
    </row>
    <row r="164" spans="1:18" ht="17.25" hidden="1" x14ac:dyDescent="0.3">
      <c r="A164" t="s">
        <v>27</v>
      </c>
      <c r="B164" t="str">
        <f t="shared" ref="B164" si="339">IF($G165="","Hide","Show")</f>
        <v>Hide</v>
      </c>
      <c r="C164" t="str">
        <f>"""Ceres4"",""TCP-LIVE"",""14012281"",""1"",""OTC"""</f>
        <v>"Ceres4","TCP-LIVE","14012281","1","OTC"</v>
      </c>
      <c r="D164" t="s">
        <v>49</v>
      </c>
      <c r="E164" s="9" t="s">
        <v>10</v>
      </c>
      <c r="F164" s="2"/>
      <c r="G164" s="8" t="s">
        <v>68</v>
      </c>
    </row>
    <row r="165" spans="1:18" hidden="1" x14ac:dyDescent="0.25">
      <c r="A165" t="s">
        <v>27</v>
      </c>
      <c r="B165" t="str">
        <f t="shared" ref="B165" si="340">IF($G165="","Hide","Show")</f>
        <v>Hide</v>
      </c>
      <c r="E165" s="1"/>
      <c r="F165" t="s">
        <v>28</v>
      </c>
      <c r="G165" t="s">
        <v>28</v>
      </c>
      <c r="H165" t="s">
        <v>28</v>
      </c>
      <c r="I165" s="5" t="s">
        <v>28</v>
      </c>
      <c r="J165" s="5" t="s">
        <v>28</v>
      </c>
      <c r="K165" s="5" t="s">
        <v>96</v>
      </c>
      <c r="L165">
        <f t="shared" ref="L165" si="341">IFERROR(IF(K165*J165=0,"0",K165*J165),0)</f>
        <v>0</v>
      </c>
      <c r="M165" s="5" t="s">
        <v>28</v>
      </c>
      <c r="N165" t="e">
        <f t="shared" ref="N165" si="342">IF(M165*J165=0,"0",M165*J165)</f>
        <v>#VALUE!</v>
      </c>
      <c r="O165" s="5" t="s">
        <v>28</v>
      </c>
      <c r="P165" s="5" t="s">
        <v>28</v>
      </c>
      <c r="Q165" s="5" t="e">
        <f t="shared" ref="Q165" si="343">P165*O165</f>
        <v>#VALUE!</v>
      </c>
      <c r="R165" s="6" t="str">
        <f t="shared" ref="R165" si="344">IFERROR(Q165+N165+L165,"")</f>
        <v/>
      </c>
    </row>
    <row r="166" spans="1:18" hidden="1" x14ac:dyDescent="0.25">
      <c r="A166" t="s">
        <v>27</v>
      </c>
      <c r="B166" t="str">
        <f t="shared" ref="B166" si="345">IF($G165="","Hide","Show")</f>
        <v>Hide</v>
      </c>
      <c r="H166" t="s">
        <v>28</v>
      </c>
    </row>
    <row r="167" spans="1:18" hidden="1" x14ac:dyDescent="0.25">
      <c r="A167" t="s">
        <v>27</v>
      </c>
      <c r="B167" t="str">
        <f t="shared" ref="B167" si="346">IF($G165="","Hide","Show")</f>
        <v>Hide</v>
      </c>
    </row>
    <row r="168" spans="1:18" ht="17.25" hidden="1" x14ac:dyDescent="0.3">
      <c r="A168" t="s">
        <v>27</v>
      </c>
      <c r="B168" t="str">
        <f t="shared" ref="B168" si="347">IF($G169="","Hide","Show")</f>
        <v>Hide</v>
      </c>
      <c r="C168" t="str">
        <f>"""Ceres4"",""TCP-LIVE"",""14012281"",""1"",""PASTA"""</f>
        <v>"Ceres4","TCP-LIVE","14012281","1","PASTA"</v>
      </c>
      <c r="D168" t="s">
        <v>50</v>
      </c>
      <c r="E168" s="9" t="s">
        <v>10</v>
      </c>
      <c r="F168" s="2"/>
      <c r="G168" s="8" t="s">
        <v>69</v>
      </c>
    </row>
    <row r="169" spans="1:18" hidden="1" x14ac:dyDescent="0.25">
      <c r="A169" t="s">
        <v>27</v>
      </c>
      <c r="B169" t="str">
        <f t="shared" ref="B169" si="348">IF($G169="","Hide","Show")</f>
        <v>Hide</v>
      </c>
      <c r="E169" s="1"/>
      <c r="F169" t="s">
        <v>28</v>
      </c>
      <c r="G169" t="s">
        <v>28</v>
      </c>
      <c r="H169" t="s">
        <v>28</v>
      </c>
      <c r="I169" s="5" t="s">
        <v>28</v>
      </c>
      <c r="J169" s="5" t="s">
        <v>28</v>
      </c>
      <c r="K169" s="5" t="s">
        <v>96</v>
      </c>
      <c r="L169">
        <f t="shared" ref="L169" si="349">IFERROR(IF(K169*J169=0,"0",K169*J169),0)</f>
        <v>0</v>
      </c>
      <c r="M169" s="5" t="s">
        <v>28</v>
      </c>
      <c r="N169" t="e">
        <f t="shared" ref="N169" si="350">IF(M169*J169=0,"0",M169*J169)</f>
        <v>#VALUE!</v>
      </c>
      <c r="O169" s="5" t="s">
        <v>28</v>
      </c>
      <c r="P169" s="5" t="s">
        <v>28</v>
      </c>
      <c r="Q169" s="5" t="e">
        <f t="shared" ref="Q169" si="351">P169*O169</f>
        <v>#VALUE!</v>
      </c>
      <c r="R169" s="6" t="str">
        <f t="shared" ref="R169" si="352">IFERROR(Q169+N169+L169,"")</f>
        <v/>
      </c>
    </row>
    <row r="170" spans="1:18" hidden="1" x14ac:dyDescent="0.25">
      <c r="A170" t="s">
        <v>27</v>
      </c>
      <c r="B170" t="str">
        <f t="shared" ref="B170" si="353">IF($G169="","Hide","Show")</f>
        <v>Hide</v>
      </c>
      <c r="H170" t="s">
        <v>28</v>
      </c>
    </row>
    <row r="171" spans="1:18" hidden="1" x14ac:dyDescent="0.25">
      <c r="A171" t="s">
        <v>27</v>
      </c>
      <c r="B171" t="str">
        <f t="shared" ref="B171" si="354">IF($G169="","Hide","Show")</f>
        <v>Hide</v>
      </c>
    </row>
    <row r="172" spans="1:18" ht="17.25" hidden="1" x14ac:dyDescent="0.3">
      <c r="A172" t="s">
        <v>27</v>
      </c>
      <c r="B172" t="str">
        <f t="shared" ref="B172" si="355">IF($G173="","Hide","Show")</f>
        <v>Hide</v>
      </c>
      <c r="C172" t="str">
        <f>"""Ceres4"",""TCP-LIVE"",""14012281"",""1"",""PASTRY"""</f>
        <v>"Ceres4","TCP-LIVE","14012281","1","PASTRY"</v>
      </c>
      <c r="D172" t="s">
        <v>51</v>
      </c>
      <c r="E172" s="9" t="s">
        <v>10</v>
      </c>
      <c r="F172" s="2"/>
      <c r="G172" s="8" t="s">
        <v>70</v>
      </c>
    </row>
    <row r="173" spans="1:18" hidden="1" x14ac:dyDescent="0.25">
      <c r="A173" t="s">
        <v>27</v>
      </c>
      <c r="B173" t="str">
        <f t="shared" ref="B173" si="356">IF($G173="","Hide","Show")</f>
        <v>Hide</v>
      </c>
      <c r="E173" s="1"/>
      <c r="F173" t="s">
        <v>28</v>
      </c>
      <c r="G173" t="s">
        <v>28</v>
      </c>
      <c r="H173" t="s">
        <v>28</v>
      </c>
      <c r="I173" s="5" t="s">
        <v>28</v>
      </c>
      <c r="J173" s="5" t="s">
        <v>28</v>
      </c>
      <c r="K173" s="5" t="s">
        <v>96</v>
      </c>
      <c r="L173">
        <f t="shared" ref="L173" si="357">IFERROR(IF(K173*J173=0,"0",K173*J173),0)</f>
        <v>0</v>
      </c>
      <c r="M173" s="5" t="s">
        <v>28</v>
      </c>
      <c r="N173" t="e">
        <f t="shared" ref="N173" si="358">IF(M173*J173=0,"0",M173*J173)</f>
        <v>#VALUE!</v>
      </c>
      <c r="O173" s="5" t="s">
        <v>28</v>
      </c>
      <c r="P173" s="5" t="s">
        <v>28</v>
      </c>
      <c r="Q173" s="5" t="e">
        <f t="shared" ref="Q173" si="359">P173*O173</f>
        <v>#VALUE!</v>
      </c>
      <c r="R173" s="6" t="str">
        <f t="shared" ref="R173" si="360">IFERROR(Q173+N173+L173,"")</f>
        <v/>
      </c>
    </row>
    <row r="174" spans="1:18" hidden="1" x14ac:dyDescent="0.25">
      <c r="A174" t="s">
        <v>27</v>
      </c>
      <c r="B174" t="str">
        <f t="shared" ref="B174" si="361">IF($G173="","Hide","Show")</f>
        <v>Hide</v>
      </c>
      <c r="H174" t="s">
        <v>28</v>
      </c>
    </row>
    <row r="175" spans="1:18" hidden="1" x14ac:dyDescent="0.25">
      <c r="A175" t="s">
        <v>27</v>
      </c>
      <c r="B175" t="str">
        <f t="shared" ref="B175" si="362">IF($G173="","Hide","Show")</f>
        <v>Hide</v>
      </c>
    </row>
    <row r="176" spans="1:18" ht="17.25" hidden="1" x14ac:dyDescent="0.3">
      <c r="A176" t="s">
        <v>27</v>
      </c>
      <c r="B176" t="str">
        <f t="shared" ref="B176" si="363">IF($G177="","Hide","Show")</f>
        <v>Hide</v>
      </c>
      <c r="C176" t="str">
        <f>"""Ceres4"",""TCP-LIVE"",""14012281"",""1"",""PER PAP"""</f>
        <v>"Ceres4","TCP-LIVE","14012281","1","PER PAP"</v>
      </c>
      <c r="D176" t="s">
        <v>52</v>
      </c>
      <c r="E176" s="9" t="s">
        <v>10</v>
      </c>
      <c r="F176" s="2"/>
      <c r="G176" s="8" t="s">
        <v>71</v>
      </c>
    </row>
    <row r="177" spans="1:18" hidden="1" x14ac:dyDescent="0.25">
      <c r="A177" t="s">
        <v>27</v>
      </c>
      <c r="B177" t="str">
        <f t="shared" ref="B177" si="364">IF($G177="","Hide","Show")</f>
        <v>Hide</v>
      </c>
      <c r="E177" s="1"/>
      <c r="F177" t="s">
        <v>28</v>
      </c>
      <c r="G177" t="s">
        <v>28</v>
      </c>
      <c r="H177" t="s">
        <v>28</v>
      </c>
      <c r="I177" s="5" t="s">
        <v>28</v>
      </c>
      <c r="J177" s="5" t="s">
        <v>28</v>
      </c>
      <c r="K177" s="5" t="s">
        <v>96</v>
      </c>
      <c r="L177">
        <f t="shared" ref="L177" si="365">IFERROR(IF(K177*J177=0,"0",K177*J177),0)</f>
        <v>0</v>
      </c>
      <c r="M177" s="5" t="s">
        <v>28</v>
      </c>
      <c r="N177" t="e">
        <f t="shared" ref="N177" si="366">IF(M177*J177=0,"0",M177*J177)</f>
        <v>#VALUE!</v>
      </c>
      <c r="O177" s="5" t="s">
        <v>28</v>
      </c>
      <c r="P177" s="5" t="s">
        <v>28</v>
      </c>
      <c r="Q177" s="5" t="e">
        <f t="shared" ref="Q177" si="367">P177*O177</f>
        <v>#VALUE!</v>
      </c>
      <c r="R177" s="6" t="str">
        <f t="shared" ref="R177" si="368">IFERROR(Q177+N177+L177,"")</f>
        <v/>
      </c>
    </row>
    <row r="178" spans="1:18" hidden="1" x14ac:dyDescent="0.25">
      <c r="A178" t="s">
        <v>27</v>
      </c>
      <c r="B178" t="str">
        <f t="shared" ref="B178" si="369">IF($G177="","Hide","Show")</f>
        <v>Hide</v>
      </c>
      <c r="H178" t="s">
        <v>28</v>
      </c>
    </row>
    <row r="179" spans="1:18" hidden="1" x14ac:dyDescent="0.25">
      <c r="A179" t="s">
        <v>27</v>
      </c>
      <c r="B179" t="str">
        <f t="shared" ref="B179" si="370">IF($G177="","Hide","Show")</f>
        <v>Hide</v>
      </c>
    </row>
    <row r="180" spans="1:18" ht="17.25" x14ac:dyDescent="0.3">
      <c r="A180" t="s">
        <v>27</v>
      </c>
      <c r="B180" t="str">
        <f t="shared" ref="B180" si="371">IF($G181="","Hide","Show")</f>
        <v>Show</v>
      </c>
      <c r="C180" t="str">
        <f>"""Ceres4"",""TCP-LIVE"",""14012281"",""1"",""PERSONAL"""</f>
        <v>"Ceres4","TCP-LIVE","14012281","1","PERSONAL"</v>
      </c>
      <c r="D180" t="s">
        <v>53</v>
      </c>
      <c r="E180" s="9" t="s">
        <v>10</v>
      </c>
      <c r="F180" s="2"/>
      <c r="G180" s="8" t="s">
        <v>72</v>
      </c>
    </row>
    <row r="181" spans="1:18" x14ac:dyDescent="0.25">
      <c r="A181" t="s">
        <v>27</v>
      </c>
      <c r="B181" t="str">
        <f t="shared" ref="B181:B183" si="372">IF($G181="","Hide","Show")</f>
        <v>Show</v>
      </c>
      <c r="E181" s="1"/>
      <c r="F181" t="s">
        <v>101</v>
      </c>
      <c r="G181" t="s">
        <v>73</v>
      </c>
      <c r="H181" t="s">
        <v>87</v>
      </c>
      <c r="I181" s="5" t="s">
        <v>95</v>
      </c>
      <c r="J181" s="5">
        <v>12</v>
      </c>
      <c r="K181" s="5">
        <v>0</v>
      </c>
      <c r="L181" t="str">
        <f t="shared" ref="L181" si="373">IFERROR(IF(K181*J181=0,"0",K181*J181),0)</f>
        <v>0</v>
      </c>
      <c r="M181" s="5">
        <v>0</v>
      </c>
      <c r="N181" t="str">
        <f t="shared" ref="N181" si="374">IF(M181*J181=0,"0",M181*J181)</f>
        <v>0</v>
      </c>
      <c r="O181" s="5">
        <v>1.2</v>
      </c>
      <c r="P181" s="5">
        <v>9.0500000000000007</v>
      </c>
      <c r="Q181" s="5">
        <f t="shared" ref="Q181" si="375">P181*O181</f>
        <v>10.860000000000001</v>
      </c>
      <c r="R181" s="6">
        <f t="shared" ref="R181" si="376">IFERROR(Q181+N181+L181,"")</f>
        <v>10.860000000000001</v>
      </c>
    </row>
    <row r="182" spans="1:18" x14ac:dyDescent="0.25">
      <c r="A182" t="s">
        <v>27</v>
      </c>
      <c r="B182" t="str">
        <f t="shared" ref="B182" si="377">IF($G181="","Hide","Show")</f>
        <v>Show</v>
      </c>
      <c r="H182" t="s">
        <v>88</v>
      </c>
    </row>
    <row r="183" spans="1:18" x14ac:dyDescent="0.25">
      <c r="A183" t="s">
        <v>27</v>
      </c>
      <c r="B183" t="str">
        <f t="shared" si="372"/>
        <v>Show</v>
      </c>
      <c r="E183" s="1"/>
      <c r="F183" t="str">
        <f>"""Ceres4"",""TCP-LIVE"",""27"",""1"",""P997001"""</f>
        <v>"Ceres4","TCP-LIVE","27","1","P997001"</v>
      </c>
      <c r="G183" t="s">
        <v>74</v>
      </c>
      <c r="H183" t="s">
        <v>89</v>
      </c>
      <c r="I183" s="5" t="s">
        <v>95</v>
      </c>
      <c r="J183" s="5">
        <v>9</v>
      </c>
      <c r="K183" s="5">
        <v>0</v>
      </c>
      <c r="L183" t="str">
        <f t="shared" ref="L183" si="378">IFERROR(IF(K183*J183=0,"0",K183*J183),0)</f>
        <v>0</v>
      </c>
      <c r="M183" s="5">
        <v>0</v>
      </c>
      <c r="N183" t="str">
        <f t="shared" ref="N183" si="379">IF(M183*J183=0,"0",M183*J183)</f>
        <v>0</v>
      </c>
      <c r="O183" s="5">
        <v>1.1499999999999999</v>
      </c>
      <c r="P183" s="5">
        <v>28</v>
      </c>
      <c r="Q183" s="5">
        <f t="shared" ref="Q183" si="380">P183*O183</f>
        <v>32.199999999999996</v>
      </c>
      <c r="R183" s="6">
        <f t="shared" ref="R183" si="381">IFERROR(Q183+N183+L183,"")</f>
        <v>32.199999999999996</v>
      </c>
    </row>
    <row r="184" spans="1:18" x14ac:dyDescent="0.25">
      <c r="A184" t="s">
        <v>27</v>
      </c>
      <c r="B184" t="str">
        <f t="shared" ref="B184" si="382">IF($G183="","Hide","Show")</f>
        <v>Show</v>
      </c>
      <c r="H184" t="s">
        <v>90</v>
      </c>
    </row>
    <row r="185" spans="1:18" x14ac:dyDescent="0.25">
      <c r="A185" t="s">
        <v>27</v>
      </c>
      <c r="B185" t="str">
        <f t="shared" ref="B185" si="383">IF($G181="","Hide","Show")</f>
        <v>Show</v>
      </c>
    </row>
    <row r="186" spans="1:18" ht="17.25" hidden="1" x14ac:dyDescent="0.3">
      <c r="A186" t="s">
        <v>27</v>
      </c>
      <c r="B186" t="str">
        <f t="shared" ref="B186" si="384">IF($G187="","Hide","Show")</f>
        <v>Hide</v>
      </c>
      <c r="C186" t="str">
        <f>"""Ceres4"",""TCP-LIVE"",""14012281"",""1"",""PET"""</f>
        <v>"Ceres4","TCP-LIVE","14012281","1","PET"</v>
      </c>
      <c r="D186" t="s">
        <v>54</v>
      </c>
      <c r="E186" s="9" t="s">
        <v>10</v>
      </c>
      <c r="F186" s="2"/>
      <c r="G186" s="8" t="s">
        <v>75</v>
      </c>
    </row>
    <row r="187" spans="1:18" hidden="1" x14ac:dyDescent="0.25">
      <c r="A187" t="s">
        <v>27</v>
      </c>
      <c r="B187" t="str">
        <f t="shared" ref="B187" si="385">IF($G187="","Hide","Show")</f>
        <v>Hide</v>
      </c>
      <c r="E187" s="1"/>
      <c r="F187" t="s">
        <v>28</v>
      </c>
      <c r="G187" t="s">
        <v>28</v>
      </c>
      <c r="H187" t="s">
        <v>28</v>
      </c>
      <c r="I187" s="5" t="s">
        <v>28</v>
      </c>
      <c r="J187" s="5" t="s">
        <v>28</v>
      </c>
      <c r="K187" s="5" t="s">
        <v>96</v>
      </c>
      <c r="L187">
        <f t="shared" ref="L187" si="386">IFERROR(IF(K187*J187=0,"0",K187*J187),0)</f>
        <v>0</v>
      </c>
      <c r="M187" s="5" t="s">
        <v>28</v>
      </c>
      <c r="N187" t="e">
        <f t="shared" ref="N187" si="387">IF(M187*J187=0,"0",M187*J187)</f>
        <v>#VALUE!</v>
      </c>
      <c r="O187" s="5" t="s">
        <v>28</v>
      </c>
      <c r="P187" s="5" t="s">
        <v>28</v>
      </c>
      <c r="Q187" s="5" t="e">
        <f t="shared" ref="Q187" si="388">P187*O187</f>
        <v>#VALUE!</v>
      </c>
      <c r="R187" s="6" t="str">
        <f t="shared" ref="R187" si="389">IFERROR(Q187+N187+L187,"")</f>
        <v/>
      </c>
    </row>
    <row r="188" spans="1:18" hidden="1" x14ac:dyDescent="0.25">
      <c r="A188" t="s">
        <v>27</v>
      </c>
      <c r="B188" t="str">
        <f t="shared" ref="B188" si="390">IF($G187="","Hide","Show")</f>
        <v>Hide</v>
      </c>
      <c r="H188" t="s">
        <v>28</v>
      </c>
    </row>
    <row r="189" spans="1:18" hidden="1" x14ac:dyDescent="0.25">
      <c r="A189" t="s">
        <v>27</v>
      </c>
      <c r="B189" t="str">
        <f t="shared" ref="B189" si="391">IF($G187="","Hide","Show")</f>
        <v>Hide</v>
      </c>
    </row>
    <row r="190" spans="1:18" ht="17.25" hidden="1" x14ac:dyDescent="0.3">
      <c r="A190" t="s">
        <v>27</v>
      </c>
      <c r="B190" t="str">
        <f t="shared" ref="B190" si="392">IF($G191="","Hide","Show")</f>
        <v>Hide</v>
      </c>
      <c r="C190" t="str">
        <f>"""Ceres4"",""TCP-LIVE"",""14012281"",""1"",""PRODUCE"""</f>
        <v>"Ceres4","TCP-LIVE","14012281","1","PRODUCE"</v>
      </c>
      <c r="D190" t="s">
        <v>55</v>
      </c>
      <c r="E190" s="9" t="s">
        <v>10</v>
      </c>
      <c r="F190" s="2"/>
      <c r="G190" s="8" t="s">
        <v>76</v>
      </c>
    </row>
    <row r="191" spans="1:18" hidden="1" x14ac:dyDescent="0.25">
      <c r="A191" t="s">
        <v>27</v>
      </c>
      <c r="B191" t="str">
        <f t="shared" ref="B191" si="393">IF($G191="","Hide","Show")</f>
        <v>Hide</v>
      </c>
      <c r="E191" s="1"/>
      <c r="F191" t="s">
        <v>28</v>
      </c>
      <c r="G191" t="s">
        <v>28</v>
      </c>
      <c r="H191" t="s">
        <v>28</v>
      </c>
      <c r="I191" s="5" t="s">
        <v>28</v>
      </c>
      <c r="J191" s="5" t="s">
        <v>28</v>
      </c>
      <c r="K191" s="5" t="s">
        <v>96</v>
      </c>
      <c r="L191">
        <f t="shared" ref="L191" si="394">IFERROR(IF(K191*J191=0,"0",K191*J191),0)</f>
        <v>0</v>
      </c>
      <c r="M191" s="5" t="s">
        <v>28</v>
      </c>
      <c r="N191" t="e">
        <f t="shared" ref="N191" si="395">IF(M191*J191=0,"0",M191*J191)</f>
        <v>#VALUE!</v>
      </c>
      <c r="O191" s="5" t="s">
        <v>28</v>
      </c>
      <c r="P191" s="5" t="s">
        <v>28</v>
      </c>
      <c r="Q191" s="5" t="e">
        <f t="shared" ref="Q191" si="396">P191*O191</f>
        <v>#VALUE!</v>
      </c>
      <c r="R191" s="6" t="str">
        <f t="shared" ref="R191" si="397">IFERROR(Q191+N191+L191,"")</f>
        <v/>
      </c>
    </row>
    <row r="192" spans="1:18" hidden="1" x14ac:dyDescent="0.25">
      <c r="A192" t="s">
        <v>27</v>
      </c>
      <c r="B192" t="str">
        <f t="shared" ref="B192" si="398">IF($G191="","Hide","Show")</f>
        <v>Hide</v>
      </c>
      <c r="H192" t="s">
        <v>28</v>
      </c>
    </row>
    <row r="193" spans="1:18" hidden="1" x14ac:dyDescent="0.25">
      <c r="A193" t="s">
        <v>27</v>
      </c>
      <c r="B193" t="str">
        <f t="shared" ref="B193" si="399">IF($G191="","Hide","Show")</f>
        <v>Hide</v>
      </c>
    </row>
    <row r="194" spans="1:18" ht="17.25" x14ac:dyDescent="0.3">
      <c r="A194" t="s">
        <v>27</v>
      </c>
      <c r="B194" t="str">
        <f t="shared" ref="B194" si="400">IF($G195="","Hide","Show")</f>
        <v>Show</v>
      </c>
      <c r="C194" t="str">
        <f>"""Ceres4"",""TCP-LIVE"",""14012281"",""1"",""PRO-MEAT"""</f>
        <v>"Ceres4","TCP-LIVE","14012281","1","PRO-MEAT"</v>
      </c>
      <c r="D194" t="s">
        <v>56</v>
      </c>
      <c r="E194" s="9" t="s">
        <v>10</v>
      </c>
      <c r="F194" s="2"/>
      <c r="G194" s="8" t="s">
        <v>77</v>
      </c>
    </row>
    <row r="195" spans="1:18" x14ac:dyDescent="0.25">
      <c r="A195" t="s">
        <v>27</v>
      </c>
      <c r="B195" t="str">
        <f t="shared" ref="B195:B243" si="401">IF($G195="","Hide","Show")</f>
        <v>Show</v>
      </c>
      <c r="E195" s="1"/>
      <c r="F195" t="s">
        <v>97</v>
      </c>
      <c r="G195" t="str">
        <f>"P400001"</f>
        <v>P400001</v>
      </c>
      <c r="H195" t="str">
        <f>"Protein - Beef Patties"</f>
        <v>Protein - Beef Patties</v>
      </c>
      <c r="I195" s="5" t="str">
        <f>"CS"</f>
        <v>CS</v>
      </c>
      <c r="J195" s="5">
        <v>16</v>
      </c>
      <c r="K195" s="5">
        <v>0</v>
      </c>
      <c r="L195" t="str">
        <f t="shared" ref="L195" si="402">IFERROR(IF(K195*J195=0,"0",K195*J195),0)</f>
        <v>0</v>
      </c>
      <c r="M195" s="5">
        <v>0</v>
      </c>
      <c r="N195" t="str">
        <f t="shared" ref="N195" si="403">IF(M195*J195=0,"0",M195*J195)</f>
        <v>0</v>
      </c>
      <c r="O195" s="5">
        <v>1.1000000000000001</v>
      </c>
      <c r="P195" s="5">
        <v>54.169999999999995</v>
      </c>
      <c r="Q195" s="5">
        <f t="shared" ref="Q195" si="404">P195*O195</f>
        <v>59.586999999999996</v>
      </c>
      <c r="R195" s="6">
        <f t="shared" ref="R195" si="405">IFERROR(Q195+N195+L195,"")</f>
        <v>59.586999999999996</v>
      </c>
    </row>
    <row r="196" spans="1:18" x14ac:dyDescent="0.25">
      <c r="A196" t="s">
        <v>27</v>
      </c>
      <c r="B196" t="str">
        <f t="shared" ref="B196" si="406">IF($G195="","Hide","Show")</f>
        <v>Show</v>
      </c>
      <c r="H196" t="str">
        <f>"32- 8 oz patties"</f>
        <v>32- 8 oz patties</v>
      </c>
    </row>
    <row r="197" spans="1:18" x14ac:dyDescent="0.25">
      <c r="A197" t="s">
        <v>27</v>
      </c>
      <c r="B197" t="str">
        <f t="shared" si="401"/>
        <v>Show</v>
      </c>
      <c r="E197" s="1"/>
      <c r="F197" t="str">
        <f>"""Ceres4"",""TCP-LIVE"",""27"",""1"",""P400003"""</f>
        <v>"Ceres4","TCP-LIVE","27","1","P400003"</v>
      </c>
      <c r="G197" t="str">
        <f>"P400003"</f>
        <v>P400003</v>
      </c>
      <c r="H197" t="str">
        <f>"Protein - Ground Beef"</f>
        <v>Protein - Ground Beef</v>
      </c>
      <c r="I197" s="5" t="str">
        <f>"EA"</f>
        <v>EA</v>
      </c>
      <c r="J197" s="5">
        <v>5</v>
      </c>
      <c r="K197" s="5">
        <v>0</v>
      </c>
      <c r="L197" t="str">
        <f t="shared" ref="L197" si="407">IFERROR(IF(K197*J197=0,"0",K197*J197),0)</f>
        <v>0</v>
      </c>
      <c r="M197" s="5">
        <v>0</v>
      </c>
      <c r="N197" t="str">
        <f t="shared" ref="N197" si="408">IF(M197*J197=0,"0",M197*J197)</f>
        <v>0</v>
      </c>
      <c r="O197" s="5">
        <v>1</v>
      </c>
      <c r="P197" s="5">
        <v>12.848000000000001</v>
      </c>
      <c r="Q197" s="5">
        <f t="shared" ref="Q197" si="409">P197*O197</f>
        <v>12.848000000000001</v>
      </c>
      <c r="R197" s="6">
        <f t="shared" ref="R197" si="410">IFERROR(Q197+N197+L197,"")</f>
        <v>12.848000000000001</v>
      </c>
    </row>
    <row r="198" spans="1:18" x14ac:dyDescent="0.25">
      <c r="A198" t="s">
        <v>27</v>
      </c>
      <c r="B198" t="str">
        <f t="shared" ref="B198" si="411">IF($G197="","Hide","Show")</f>
        <v>Show</v>
      </c>
      <c r="H198" t="str">
        <f>"1-5 lb "</f>
        <v xml:space="preserve">1-5 lb </v>
      </c>
    </row>
    <row r="199" spans="1:18" x14ac:dyDescent="0.25">
      <c r="A199" t="s">
        <v>27</v>
      </c>
      <c r="B199" t="str">
        <f t="shared" si="401"/>
        <v>Show</v>
      </c>
      <c r="E199" s="1"/>
      <c r="F199" t="str">
        <f>"""Ceres4"",""TCP-LIVE"",""27"",""1"",""P400014"""</f>
        <v>"Ceres4","TCP-LIVE","27","1","P400014"</v>
      </c>
      <c r="G199" t="str">
        <f>"P400014"</f>
        <v>P400014</v>
      </c>
      <c r="H199" t="str">
        <f>"Protein - Beef Patties"</f>
        <v>Protein - Beef Patties</v>
      </c>
      <c r="I199" s="5" t="str">
        <f>"BOX"</f>
        <v>BOX</v>
      </c>
      <c r="J199" s="5">
        <v>10</v>
      </c>
      <c r="K199" s="5">
        <v>0</v>
      </c>
      <c r="L199" t="str">
        <f t="shared" ref="L199" si="412">IFERROR(IF(K199*J199=0,"0",K199*J199),0)</f>
        <v>0</v>
      </c>
      <c r="M199" s="5">
        <v>0</v>
      </c>
      <c r="N199" t="str">
        <f t="shared" ref="N199" si="413">IF(M199*J199=0,"0",M199*J199)</f>
        <v>0</v>
      </c>
      <c r="O199" s="5">
        <v>1.1000000000000001</v>
      </c>
      <c r="P199" s="5">
        <v>25.689999999999998</v>
      </c>
      <c r="Q199" s="5">
        <f t="shared" ref="Q199" si="414">P199*O199</f>
        <v>28.259</v>
      </c>
      <c r="R199" s="6">
        <f t="shared" ref="R199" si="415">IFERROR(Q199+N199+L199,"")</f>
        <v>28.259</v>
      </c>
    </row>
    <row r="200" spans="1:18" x14ac:dyDescent="0.25">
      <c r="A200" t="s">
        <v>27</v>
      </c>
      <c r="B200" t="str">
        <f t="shared" ref="B200" si="416">IF($G199="","Hide","Show")</f>
        <v>Show</v>
      </c>
      <c r="H200" t="str">
        <f>"20- 8 oz"</f>
        <v>20- 8 oz</v>
      </c>
    </row>
    <row r="201" spans="1:18" x14ac:dyDescent="0.25">
      <c r="A201" t="s">
        <v>27</v>
      </c>
      <c r="B201" t="str">
        <f t="shared" si="401"/>
        <v>Show</v>
      </c>
      <c r="E201" s="1"/>
      <c r="F201" t="str">
        <f>"""Ceres4"",""TCP-LIVE"",""27"",""1"",""P400018"""</f>
        <v>"Ceres4","TCP-LIVE","27","1","P400018"</v>
      </c>
      <c r="G201" t="str">
        <f>"P400018"</f>
        <v>P400018</v>
      </c>
      <c r="H201" t="str">
        <f>"Protein -  Beef Patties Cooked"</f>
        <v>Protein -  Beef Patties Cooked</v>
      </c>
      <c r="I201" s="5" t="str">
        <f>"CS"</f>
        <v>CS</v>
      </c>
      <c r="J201" s="5">
        <v>10</v>
      </c>
      <c r="K201" s="5">
        <v>0</v>
      </c>
      <c r="L201" t="str">
        <f t="shared" ref="L201" si="417">IFERROR(IF(K201*J201=0,"0",K201*J201),0)</f>
        <v>0</v>
      </c>
      <c r="M201" s="5">
        <v>0</v>
      </c>
      <c r="N201" t="str">
        <f t="shared" ref="N201" si="418">IF(M201*J201=0,"0",M201*J201)</f>
        <v>0</v>
      </c>
      <c r="O201" s="5">
        <v>1.1000000000000001</v>
      </c>
      <c r="P201" s="5">
        <v>42</v>
      </c>
      <c r="Q201" s="5">
        <f t="shared" ref="Q201" si="419">P201*O201</f>
        <v>46.2</v>
      </c>
      <c r="R201" s="6">
        <f t="shared" ref="R201" si="420">IFERROR(Q201+N201+L201,"")</f>
        <v>46.2</v>
      </c>
    </row>
    <row r="202" spans="1:18" x14ac:dyDescent="0.25">
      <c r="A202" t="s">
        <v>27</v>
      </c>
      <c r="B202" t="str">
        <f t="shared" ref="B202" si="421">IF($G201="","Hide","Show")</f>
        <v>Show</v>
      </c>
      <c r="H202" t="str">
        <f>"53-3 oz"</f>
        <v>53-3 oz</v>
      </c>
    </row>
    <row r="203" spans="1:18" x14ac:dyDescent="0.25">
      <c r="A203" t="s">
        <v>27</v>
      </c>
      <c r="B203" t="str">
        <f t="shared" si="401"/>
        <v>Show</v>
      </c>
      <c r="E203" s="1"/>
      <c r="F203" t="str">
        <f>"""Ceres4"",""TCP-LIVE"",""27"",""1"",""P420000"""</f>
        <v>"Ceres4","TCP-LIVE","27","1","P420000"</v>
      </c>
      <c r="G203" t="str">
        <f>"P420000"</f>
        <v>P420000</v>
      </c>
      <c r="H203" t="str">
        <f>"Protein-Bacon"</f>
        <v>Protein-Bacon</v>
      </c>
      <c r="I203" s="5" t="str">
        <f>"EA"</f>
        <v>EA</v>
      </c>
      <c r="J203" s="5">
        <v>1</v>
      </c>
      <c r="K203" s="5">
        <v>0</v>
      </c>
      <c r="L203" t="str">
        <f t="shared" ref="L203" si="422">IFERROR(IF(K203*J203=0,"0",K203*J203),0)</f>
        <v>0</v>
      </c>
      <c r="M203" s="5">
        <v>0</v>
      </c>
      <c r="N203" t="str">
        <f t="shared" ref="N203" si="423">IF(M203*J203=0,"0",M203*J203)</f>
        <v>0</v>
      </c>
      <c r="O203" s="5">
        <v>1.1000000000000001</v>
      </c>
      <c r="P203" s="5">
        <v>3.2881800000000001</v>
      </c>
      <c r="Q203" s="5">
        <f t="shared" ref="Q203" si="424">P203*O203</f>
        <v>3.6169980000000006</v>
      </c>
      <c r="R203" s="6">
        <f t="shared" ref="R203" si="425">IFERROR(Q203+N203+L203,"")</f>
        <v>3.6169980000000006</v>
      </c>
    </row>
    <row r="204" spans="1:18" x14ac:dyDescent="0.25">
      <c r="A204" t="s">
        <v>27</v>
      </c>
      <c r="B204" t="str">
        <f t="shared" ref="B204" si="426">IF($G203="","Hide","Show")</f>
        <v>Show</v>
      </c>
      <c r="H204" t="str">
        <f>"1-1 lb "</f>
        <v xml:space="preserve">1-1 lb </v>
      </c>
    </row>
    <row r="205" spans="1:18" x14ac:dyDescent="0.25">
      <c r="A205" t="s">
        <v>27</v>
      </c>
      <c r="B205" t="str">
        <f t="shared" si="401"/>
        <v>Show</v>
      </c>
      <c r="E205" s="1"/>
      <c r="F205" t="str">
        <f>"""Ceres4"",""TCP-LIVE"",""27"",""1"",""P420001"""</f>
        <v>"Ceres4","TCP-LIVE","27","1","P420001"</v>
      </c>
      <c r="G205" t="str">
        <f>"P420001"</f>
        <v>P420001</v>
      </c>
      <c r="H205" t="str">
        <f>"Protein-Sausage Links"</f>
        <v>Protein-Sausage Links</v>
      </c>
      <c r="I205" s="5" t="str">
        <f>"EA"</f>
        <v>EA</v>
      </c>
      <c r="J205" s="5">
        <v>1</v>
      </c>
      <c r="K205" s="5">
        <v>0</v>
      </c>
      <c r="L205" t="str">
        <f t="shared" ref="L205" si="427">IFERROR(IF(K205*J205=0,"0",K205*J205),0)</f>
        <v>0</v>
      </c>
      <c r="M205" s="5">
        <v>0</v>
      </c>
      <c r="N205" t="str">
        <f t="shared" ref="N205" si="428">IF(M205*J205=0,"0",M205*J205)</f>
        <v>0</v>
      </c>
      <c r="O205" s="5">
        <v>1.1000000000000001</v>
      </c>
      <c r="P205" s="5">
        <v>3.5453500000000004</v>
      </c>
      <c r="Q205" s="5">
        <f t="shared" ref="Q205" si="429">P205*O205</f>
        <v>3.8998850000000007</v>
      </c>
      <c r="R205" s="6">
        <f t="shared" ref="R205" si="430">IFERROR(Q205+N205+L205,"")</f>
        <v>3.8998850000000007</v>
      </c>
    </row>
    <row r="206" spans="1:18" x14ac:dyDescent="0.25">
      <c r="A206" t="s">
        <v>27</v>
      </c>
      <c r="B206" t="str">
        <f t="shared" ref="B206" si="431">IF($G205="","Hide","Show")</f>
        <v>Show</v>
      </c>
      <c r="H206" t="str">
        <f>"1-1 lb"</f>
        <v>1-1 lb</v>
      </c>
    </row>
    <row r="207" spans="1:18" x14ac:dyDescent="0.25">
      <c r="A207" t="s">
        <v>27</v>
      </c>
      <c r="B207" t="str">
        <f t="shared" si="401"/>
        <v>Show</v>
      </c>
      <c r="E207" s="1"/>
      <c r="F207" t="str">
        <f>"""Ceres4"",""TCP-LIVE"",""27"",""1"",""P420002"""</f>
        <v>"Ceres4","TCP-LIVE","27","1","P420002"</v>
      </c>
      <c r="G207" t="str">
        <f>"P420002"</f>
        <v>P420002</v>
      </c>
      <c r="H207" t="str">
        <f>"Protein-Pork Sausage Patty"</f>
        <v>Protein-Pork Sausage Patty</v>
      </c>
      <c r="I207" s="5" t="str">
        <f>"EA"</f>
        <v>EA</v>
      </c>
      <c r="J207" s="5">
        <v>1</v>
      </c>
      <c r="K207" s="5">
        <v>0</v>
      </c>
      <c r="L207" t="str">
        <f t="shared" ref="L207" si="432">IFERROR(IF(K207*J207=0,"0",K207*J207),0)</f>
        <v>0</v>
      </c>
      <c r="M207" s="5">
        <v>0</v>
      </c>
      <c r="N207" t="str">
        <f t="shared" ref="N207" si="433">IF(M207*J207=0,"0",M207*J207)</f>
        <v>0</v>
      </c>
      <c r="O207" s="5">
        <v>1.1000000000000001</v>
      </c>
      <c r="P207" s="5">
        <v>2.8546399999999998</v>
      </c>
      <c r="Q207" s="5">
        <f t="shared" ref="Q207" si="434">P207*O207</f>
        <v>3.140104</v>
      </c>
      <c r="R207" s="6">
        <f t="shared" ref="R207" si="435">IFERROR(Q207+N207+L207,"")</f>
        <v>3.140104</v>
      </c>
    </row>
    <row r="208" spans="1:18" x14ac:dyDescent="0.25">
      <c r="A208" t="s">
        <v>27</v>
      </c>
      <c r="B208" t="str">
        <f t="shared" ref="B208" si="436">IF($G207="","Hide","Show")</f>
        <v>Show</v>
      </c>
      <c r="H208" t="str">
        <f>"1-1 lb"</f>
        <v>1-1 lb</v>
      </c>
    </row>
    <row r="209" spans="1:18" x14ac:dyDescent="0.25">
      <c r="A209" t="s">
        <v>27</v>
      </c>
      <c r="B209" t="str">
        <f t="shared" si="401"/>
        <v>Show</v>
      </c>
      <c r="E209" s="1"/>
      <c r="F209" t="str">
        <f>"""Ceres4"",""TCP-LIVE"",""27"",""1"",""P420004"""</f>
        <v>"Ceres4","TCP-LIVE","27","1","P420004"</v>
      </c>
      <c r="G209" t="str">
        <f>"P420004"</f>
        <v>P420004</v>
      </c>
      <c r="H209" t="str">
        <f>"Protein - Bacon"</f>
        <v>Protein - Bacon</v>
      </c>
      <c r="I209" s="5" t="str">
        <f>"CS"</f>
        <v>CS</v>
      </c>
      <c r="J209" s="5">
        <v>15</v>
      </c>
      <c r="K209" s="5">
        <v>0</v>
      </c>
      <c r="L209" t="str">
        <f t="shared" ref="L209" si="437">IFERROR(IF(K209*J209=0,"0",K209*J209),0)</f>
        <v>0</v>
      </c>
      <c r="M209" s="5">
        <v>0</v>
      </c>
      <c r="N209" t="str">
        <f t="shared" ref="N209" si="438">IF(M209*J209=0,"0",M209*J209)</f>
        <v>0</v>
      </c>
      <c r="O209" s="5">
        <v>1.1000000000000001</v>
      </c>
      <c r="P209" s="5">
        <v>53.129999999999995</v>
      </c>
      <c r="Q209" s="5">
        <f t="shared" ref="Q209" si="439">P209*O209</f>
        <v>58.442999999999998</v>
      </c>
      <c r="R209" s="6">
        <f t="shared" ref="R209" si="440">IFERROR(Q209+N209+L209,"")</f>
        <v>58.442999999999998</v>
      </c>
    </row>
    <row r="210" spans="1:18" x14ac:dyDescent="0.25">
      <c r="A210" t="s">
        <v>27</v>
      </c>
      <c r="B210" t="str">
        <f t="shared" ref="B210" si="441">IF($G209="","Hide","Show")</f>
        <v>Show</v>
      </c>
      <c r="H210" t="str">
        <f>"15 lb box"</f>
        <v>15 lb box</v>
      </c>
    </row>
    <row r="211" spans="1:18" x14ac:dyDescent="0.25">
      <c r="A211" t="s">
        <v>27</v>
      </c>
      <c r="B211" t="str">
        <f t="shared" si="401"/>
        <v>Show</v>
      </c>
      <c r="E211" s="1"/>
      <c r="F211" t="str">
        <f>"""Ceres4"",""TCP-LIVE"",""27"",""1"",""P420008"""</f>
        <v>"Ceres4","TCP-LIVE","27","1","P420008"</v>
      </c>
      <c r="G211" t="str">
        <f>"P420008"</f>
        <v>P420008</v>
      </c>
      <c r="H211" t="str">
        <f>"Protein - Lunchmeat Roast Beef"</f>
        <v>Protein - Lunchmeat Roast Beef</v>
      </c>
      <c r="I211" s="5" t="str">
        <f>"EA"</f>
        <v>EA</v>
      </c>
      <c r="J211" s="5">
        <v>2</v>
      </c>
      <c r="K211" s="5">
        <v>0</v>
      </c>
      <c r="L211" t="str">
        <f t="shared" ref="L211" si="442">IFERROR(IF(K211*J211=0,"0",K211*J211),0)</f>
        <v>0</v>
      </c>
      <c r="M211" s="5">
        <v>0</v>
      </c>
      <c r="N211" t="str">
        <f t="shared" ref="N211" si="443">IF(M211*J211=0,"0",M211*J211)</f>
        <v>0</v>
      </c>
      <c r="O211" s="5">
        <v>1.1499999999999999</v>
      </c>
      <c r="P211" s="5">
        <v>11.554169999999999</v>
      </c>
      <c r="Q211" s="5">
        <f t="shared" ref="Q211" si="444">P211*O211</f>
        <v>13.287295499999997</v>
      </c>
      <c r="R211" s="6">
        <f t="shared" ref="R211" si="445">IFERROR(Q211+N211+L211,"")</f>
        <v>13.287295499999997</v>
      </c>
    </row>
    <row r="212" spans="1:18" x14ac:dyDescent="0.25">
      <c r="A212" t="s">
        <v>27</v>
      </c>
      <c r="B212" t="str">
        <f t="shared" ref="B212" si="446">IF($G211="","Hide","Show")</f>
        <v>Show</v>
      </c>
      <c r="H212" t="str">
        <f>"2 lbs"</f>
        <v>2 lbs</v>
      </c>
    </row>
    <row r="213" spans="1:18" x14ac:dyDescent="0.25">
      <c r="A213" t="s">
        <v>27</v>
      </c>
      <c r="B213" t="str">
        <f t="shared" si="401"/>
        <v>Show</v>
      </c>
      <c r="E213" s="1"/>
      <c r="F213" t="str">
        <f>"""Ceres4"",""TCP-LIVE"",""27"",""1"",""P439988"""</f>
        <v>"Ceres4","TCP-LIVE","27","1","P439988"</v>
      </c>
      <c r="G213" t="str">
        <f>"P439988"</f>
        <v>P439988</v>
      </c>
      <c r="H213" t="str">
        <f>"Protein - Sliced Ham Deli "</f>
        <v xml:space="preserve">Protein - Sliced Ham Deli </v>
      </c>
      <c r="I213" s="5" t="str">
        <f>"EA"</f>
        <v>EA</v>
      </c>
      <c r="J213" s="5">
        <v>3</v>
      </c>
      <c r="K213" s="5">
        <v>0</v>
      </c>
      <c r="L213" t="str">
        <f t="shared" ref="L213" si="447">IFERROR(IF(K213*J213=0,"0",K213*J213),0)</f>
        <v>0</v>
      </c>
      <c r="M213" s="5">
        <v>0</v>
      </c>
      <c r="N213" t="str">
        <f t="shared" ref="N213" si="448">IF(M213*J213=0,"0",M213*J213)</f>
        <v>0</v>
      </c>
      <c r="O213" s="5">
        <v>1.1000000000000001</v>
      </c>
      <c r="P213" s="5">
        <v>12.216670000000001</v>
      </c>
      <c r="Q213" s="5">
        <f t="shared" ref="Q213" si="449">P213*O213</f>
        <v>13.438337000000002</v>
      </c>
      <c r="R213" s="6">
        <f t="shared" ref="R213" si="450">IFERROR(Q213+N213+L213,"")</f>
        <v>13.438337000000002</v>
      </c>
    </row>
    <row r="214" spans="1:18" x14ac:dyDescent="0.25">
      <c r="A214" t="s">
        <v>27</v>
      </c>
      <c r="B214" t="str">
        <f t="shared" ref="B214" si="451">IF($G213="","Hide","Show")</f>
        <v>Show</v>
      </c>
      <c r="H214" t="str">
        <f>"1 - 3 lb"</f>
        <v>1 - 3 lb</v>
      </c>
    </row>
    <row r="215" spans="1:18" x14ac:dyDescent="0.25">
      <c r="A215" t="s">
        <v>27</v>
      </c>
      <c r="B215" t="str">
        <f t="shared" si="401"/>
        <v>Show</v>
      </c>
      <c r="E215" s="1"/>
      <c r="F215" t="str">
        <f>"""Ceres4"",""TCP-LIVE"",""27"",""1"",""P439992"""</f>
        <v>"Ceres4","TCP-LIVE","27","1","P439992"</v>
      </c>
      <c r="G215" t="str">
        <f>"P439992"</f>
        <v>P439992</v>
      </c>
      <c r="H215" t="str">
        <f>"Protein - Ham Sliced "</f>
        <v xml:space="preserve">Protein - Ham Sliced </v>
      </c>
      <c r="I215" s="5" t="str">
        <f>"EA"</f>
        <v>EA</v>
      </c>
      <c r="J215" s="5">
        <v>5</v>
      </c>
      <c r="K215" s="5">
        <v>0</v>
      </c>
      <c r="L215" t="str">
        <f t="shared" ref="L215" si="452">IFERROR(IF(K215*J215=0,"0",K215*J215),0)</f>
        <v>0</v>
      </c>
      <c r="M215" s="5">
        <v>0</v>
      </c>
      <c r="N215" t="str">
        <f t="shared" ref="N215" si="453">IF(M215*J215=0,"0",M215*J215)</f>
        <v>0</v>
      </c>
      <c r="O215" s="5">
        <v>1.2</v>
      </c>
      <c r="P215" s="5">
        <v>11.723329999999999</v>
      </c>
      <c r="Q215" s="5">
        <f t="shared" ref="Q215" si="454">P215*O215</f>
        <v>14.067995999999999</v>
      </c>
      <c r="R215" s="6">
        <f t="shared" ref="R215" si="455">IFERROR(Q215+N215+L215,"")</f>
        <v>14.067995999999999</v>
      </c>
    </row>
    <row r="216" spans="1:18" x14ac:dyDescent="0.25">
      <c r="A216" t="s">
        <v>27</v>
      </c>
      <c r="B216" t="str">
        <f t="shared" ref="B216" si="456">IF($G215="","Hide","Show")</f>
        <v>Show</v>
      </c>
      <c r="H216" t="str">
        <f>"1- 5lb"</f>
        <v>1- 5lb</v>
      </c>
    </row>
    <row r="217" spans="1:18" x14ac:dyDescent="0.25">
      <c r="A217" t="s">
        <v>27</v>
      </c>
      <c r="B217" t="str">
        <f t="shared" si="401"/>
        <v>Show</v>
      </c>
      <c r="E217" s="1"/>
      <c r="F217" t="str">
        <f>"""Ceres4"",""TCP-LIVE"",""27"",""1"",""P439993"""</f>
        <v>"Ceres4","TCP-LIVE","27","1","P439993"</v>
      </c>
      <c r="G217" t="str">
        <f>"P439993"</f>
        <v>P439993</v>
      </c>
      <c r="H217" t="str">
        <f>"Protein - Ham Sliced"</f>
        <v>Protein - Ham Sliced</v>
      </c>
      <c r="I217" s="5" t="str">
        <f>"EA"</f>
        <v>EA</v>
      </c>
      <c r="J217" s="5">
        <v>2</v>
      </c>
      <c r="K217" s="5">
        <v>0</v>
      </c>
      <c r="L217" t="str">
        <f t="shared" ref="L217" si="457">IFERROR(IF(K217*J217=0,"0",K217*J217),0)</f>
        <v>0</v>
      </c>
      <c r="M217" s="5">
        <v>0</v>
      </c>
      <c r="N217" t="str">
        <f t="shared" ref="N217" si="458">IF(M217*J217=0,"0",M217*J217)</f>
        <v>0</v>
      </c>
      <c r="O217" s="5">
        <v>1.1000000000000001</v>
      </c>
      <c r="P217" s="5">
        <v>7.1266700000000007</v>
      </c>
      <c r="Q217" s="5">
        <f t="shared" ref="Q217" si="459">P217*O217</f>
        <v>7.8393370000000013</v>
      </c>
      <c r="R217" s="6">
        <f t="shared" ref="R217" si="460">IFERROR(Q217+N217+L217,"")</f>
        <v>7.8393370000000013</v>
      </c>
    </row>
    <row r="218" spans="1:18" x14ac:dyDescent="0.25">
      <c r="A218" t="s">
        <v>27</v>
      </c>
      <c r="B218" t="str">
        <f t="shared" ref="B218" si="461">IF($G217="","Hide","Show")</f>
        <v>Show</v>
      </c>
      <c r="H218" t="str">
        <f>"1- 2 lb"</f>
        <v>1- 2 lb</v>
      </c>
    </row>
    <row r="219" spans="1:18" x14ac:dyDescent="0.25">
      <c r="A219" t="s">
        <v>27</v>
      </c>
      <c r="B219" t="str">
        <f t="shared" si="401"/>
        <v>Show</v>
      </c>
      <c r="E219" s="1"/>
      <c r="F219" t="str">
        <f>"""Ceres4"",""TCP-LIVE"",""27"",""1"",""P440004"""</f>
        <v>"Ceres4","TCP-LIVE","27","1","P440004"</v>
      </c>
      <c r="G219" t="str">
        <f>"P440004"</f>
        <v>P440004</v>
      </c>
      <c r="H219" t="str">
        <f>"Protein - Chicken Breast"</f>
        <v>Protein - Chicken Breast</v>
      </c>
      <c r="I219" s="5" t="str">
        <f>"BAG"</f>
        <v>BAG</v>
      </c>
      <c r="J219" s="5">
        <v>40</v>
      </c>
      <c r="K219" s="5">
        <v>0</v>
      </c>
      <c r="L219" t="str">
        <f t="shared" ref="L219" si="462">IFERROR(IF(K219*J219=0,"0",K219*J219),0)</f>
        <v>0</v>
      </c>
      <c r="M219" s="5">
        <v>0</v>
      </c>
      <c r="N219" t="str">
        <f t="shared" ref="N219" si="463">IF(M219*J219=0,"0",M219*J219)</f>
        <v>0</v>
      </c>
      <c r="O219" s="5">
        <v>1</v>
      </c>
      <c r="P219" s="5">
        <v>12.68</v>
      </c>
      <c r="Q219" s="5">
        <f t="shared" ref="Q219" si="464">P219*O219</f>
        <v>12.68</v>
      </c>
      <c r="R219" s="6">
        <f t="shared" ref="R219" si="465">IFERROR(Q219+N219+L219,"")</f>
        <v>12.68</v>
      </c>
    </row>
    <row r="220" spans="1:18" x14ac:dyDescent="0.25">
      <c r="A220" t="s">
        <v>27</v>
      </c>
      <c r="B220" t="str">
        <f t="shared" ref="B220" si="466">IF($G219="","Hide","Show")</f>
        <v>Show</v>
      </c>
      <c r="H220" t="str">
        <f>"10 lb bag"</f>
        <v>10 lb bag</v>
      </c>
    </row>
    <row r="221" spans="1:18" x14ac:dyDescent="0.25">
      <c r="A221" t="s">
        <v>27</v>
      </c>
      <c r="B221" t="str">
        <f t="shared" si="401"/>
        <v>Show</v>
      </c>
      <c r="E221" s="1"/>
      <c r="F221" t="str">
        <f>"""Ceres4"",""TCP-LIVE"",""27"",""1"",""P440020"""</f>
        <v>"Ceres4","TCP-LIVE","27","1","P440020"</v>
      </c>
      <c r="G221" t="str">
        <f>"P440020"</f>
        <v>P440020</v>
      </c>
      <c r="H221" t="str">
        <f>"Protein - Corn Dogs"</f>
        <v>Protein - Corn Dogs</v>
      </c>
      <c r="I221" s="5" t="str">
        <f>"BAG"</f>
        <v>BAG</v>
      </c>
      <c r="J221" s="5">
        <v>1</v>
      </c>
      <c r="K221" s="5">
        <v>0</v>
      </c>
      <c r="L221" t="str">
        <f t="shared" ref="L221" si="467">IFERROR(IF(K221*J221=0,"0",K221*J221),0)</f>
        <v>0</v>
      </c>
      <c r="M221" s="5">
        <v>0</v>
      </c>
      <c r="N221" t="str">
        <f t="shared" ref="N221" si="468">IF(M221*J221=0,"0",M221*J221)</f>
        <v>0</v>
      </c>
      <c r="O221" s="5">
        <v>1.1000000000000001</v>
      </c>
      <c r="P221" s="5">
        <v>2.8264999999999998</v>
      </c>
      <c r="Q221" s="5">
        <f t="shared" ref="Q221" si="469">P221*O221</f>
        <v>3.1091500000000001</v>
      </c>
      <c r="R221" s="6">
        <f t="shared" ref="R221" si="470">IFERROR(Q221+N221+L221,"")</f>
        <v>3.1091500000000001</v>
      </c>
    </row>
    <row r="222" spans="1:18" x14ac:dyDescent="0.25">
      <c r="A222" t="s">
        <v>27</v>
      </c>
      <c r="B222" t="str">
        <f t="shared" ref="B222" si="471">IF($G221="","Hide","Show")</f>
        <v>Show</v>
      </c>
      <c r="H222" t="str">
        <f>"6 corn dogs   repack item"</f>
        <v>6 corn dogs   repack item</v>
      </c>
    </row>
    <row r="223" spans="1:18" x14ac:dyDescent="0.25">
      <c r="A223" t="s">
        <v>27</v>
      </c>
      <c r="B223" t="str">
        <f t="shared" si="401"/>
        <v>Show</v>
      </c>
      <c r="E223" s="1"/>
      <c r="F223" t="str">
        <f>"""Ceres4"",""TCP-LIVE"",""27"",""1"",""P440030"""</f>
        <v>"Ceres4","TCP-LIVE","27","1","P440030"</v>
      </c>
      <c r="G223" t="str">
        <f>"P440030"</f>
        <v>P440030</v>
      </c>
      <c r="H223" t="str">
        <f>"Protein - Hot Dogs"</f>
        <v>Protein - Hot Dogs</v>
      </c>
      <c r="I223" s="5" t="str">
        <f>"BOX"</f>
        <v>BOX</v>
      </c>
      <c r="J223" s="5">
        <v>10</v>
      </c>
      <c r="K223" s="5">
        <v>0</v>
      </c>
      <c r="L223" t="str">
        <f t="shared" ref="L223" si="472">IFERROR(IF(K223*J223=0,"0",K223*J223),0)</f>
        <v>0</v>
      </c>
      <c r="M223" s="5">
        <v>0</v>
      </c>
      <c r="N223" t="str">
        <f t="shared" ref="N223" si="473">IF(M223*J223=0,"0",M223*J223)</f>
        <v>0</v>
      </c>
      <c r="O223" s="5">
        <v>1.1499999999999999</v>
      </c>
      <c r="P223" s="5">
        <v>22.886669999999999</v>
      </c>
      <c r="Q223" s="5">
        <f t="shared" ref="Q223" si="474">P223*O223</f>
        <v>26.319670499999997</v>
      </c>
      <c r="R223" s="6">
        <f t="shared" ref="R223" si="475">IFERROR(Q223+N223+L223,"")</f>
        <v>26.319670499999997</v>
      </c>
    </row>
    <row r="224" spans="1:18" x14ac:dyDescent="0.25">
      <c r="A224" t="s">
        <v>27</v>
      </c>
      <c r="B224" t="str">
        <f t="shared" ref="B224" si="476">IF($G223="","Hide","Show")</f>
        <v>Show</v>
      </c>
      <c r="H224" t="str">
        <f>"10 lb bulk"</f>
        <v>10 lb bulk</v>
      </c>
    </row>
    <row r="225" spans="1:18" x14ac:dyDescent="0.25">
      <c r="A225" t="s">
        <v>27</v>
      </c>
      <c r="B225" t="str">
        <f t="shared" si="401"/>
        <v>Show</v>
      </c>
      <c r="E225" s="1"/>
      <c r="F225" t="str">
        <f>"""Ceres4"",""TCP-LIVE"",""27"",""1"",""P440034"""</f>
        <v>"Ceres4","TCP-LIVE","27","1","P440034"</v>
      </c>
      <c r="G225" t="str">
        <f>"P440034"</f>
        <v>P440034</v>
      </c>
      <c r="H225" t="str">
        <f>"Protein - Chicken Leg Quarters"</f>
        <v>Protein - Chicken Leg Quarters</v>
      </c>
      <c r="I225" s="5" t="str">
        <f>"BAG"</f>
        <v>BAG</v>
      </c>
      <c r="J225" s="5">
        <v>10</v>
      </c>
      <c r="K225" s="5">
        <v>0</v>
      </c>
      <c r="L225" t="str">
        <f t="shared" ref="L225" si="477">IFERROR(IF(K225*J225=0,"0",K225*J225),0)</f>
        <v>0</v>
      </c>
      <c r="M225" s="5">
        <v>0</v>
      </c>
      <c r="N225" t="str">
        <f t="shared" ref="N225" si="478">IF(M225*J225=0,"0",M225*J225)</f>
        <v>0</v>
      </c>
      <c r="O225" s="5">
        <v>1.1000000000000001</v>
      </c>
      <c r="P225" s="5">
        <v>9.5509699999999995</v>
      </c>
      <c r="Q225" s="5">
        <f t="shared" ref="Q225" si="479">P225*O225</f>
        <v>10.506067</v>
      </c>
      <c r="R225" s="6">
        <f t="shared" ref="R225" si="480">IFERROR(Q225+N225+L225,"")</f>
        <v>10.506067</v>
      </c>
    </row>
    <row r="226" spans="1:18" x14ac:dyDescent="0.25">
      <c r="A226" t="s">
        <v>27</v>
      </c>
      <c r="B226" t="str">
        <f t="shared" ref="B226" si="481">IF($G225="","Hide","Show")</f>
        <v>Show</v>
      </c>
      <c r="H226" t="str">
        <f>"10 lb bag"</f>
        <v>10 lb bag</v>
      </c>
    </row>
    <row r="227" spans="1:18" x14ac:dyDescent="0.25">
      <c r="A227" t="s">
        <v>27</v>
      </c>
      <c r="B227" t="str">
        <f t="shared" si="401"/>
        <v>Show</v>
      </c>
      <c r="E227" s="1"/>
      <c r="F227" t="str">
        <f>"""Ceres4"",""TCP-LIVE"",""27"",""1"",""P441002"""</f>
        <v>"Ceres4","TCP-LIVE","27","1","P441002"</v>
      </c>
      <c r="G227" t="str">
        <f>"P441002"</f>
        <v>P441002</v>
      </c>
      <c r="H227" t="str">
        <f>"Protein - Chicken nuggets"</f>
        <v>Protein - Chicken nuggets</v>
      </c>
      <c r="I227" s="5" t="str">
        <f>"CS"</f>
        <v>CS</v>
      </c>
      <c r="J227" s="5">
        <v>10</v>
      </c>
      <c r="K227" s="5">
        <v>0</v>
      </c>
      <c r="L227" t="str">
        <f t="shared" ref="L227" si="482">IFERROR(IF(K227*J227=0,"0",K227*J227),0)</f>
        <v>0</v>
      </c>
      <c r="M227" s="5">
        <v>0</v>
      </c>
      <c r="N227" t="str">
        <f t="shared" ref="N227" si="483">IF(M227*J227=0,"0",M227*J227)</f>
        <v>0</v>
      </c>
      <c r="O227" s="5">
        <v>1.2</v>
      </c>
      <c r="P227" s="5">
        <v>29.58</v>
      </c>
      <c r="Q227" s="5">
        <f t="shared" ref="Q227" si="484">P227*O227</f>
        <v>35.495999999999995</v>
      </c>
      <c r="R227" s="6">
        <f t="shared" ref="R227" si="485">IFERROR(Q227+N227+L227,"")</f>
        <v>35.495999999999995</v>
      </c>
    </row>
    <row r="228" spans="1:18" x14ac:dyDescent="0.25">
      <c r="A228" t="s">
        <v>27</v>
      </c>
      <c r="B228" t="str">
        <f t="shared" ref="B228" si="486">IF($G227="","Hide","Show")</f>
        <v>Show</v>
      </c>
      <c r="H228" t="str">
        <f>"271-.59 oz"</f>
        <v>271-.59 oz</v>
      </c>
    </row>
    <row r="229" spans="1:18" x14ac:dyDescent="0.25">
      <c r="A229" t="s">
        <v>27</v>
      </c>
      <c r="B229" t="str">
        <f t="shared" si="401"/>
        <v>Show</v>
      </c>
      <c r="E229" s="1"/>
      <c r="F229" t="str">
        <f>"""Ceres4"",""TCP-LIVE"",""27"",""1"",""P449990"""</f>
        <v>"Ceres4","TCP-LIVE","27","1","P449990"</v>
      </c>
      <c r="G229" t="str">
        <f>"P449990"</f>
        <v>P449990</v>
      </c>
      <c r="H229" t="str">
        <f>"Protein - Chicken Wings Buffalo 1 and 2 JT "</f>
        <v xml:space="preserve">Protein - Chicken Wings Buffalo 1 and 2 JT </v>
      </c>
      <c r="I229" s="5" t="str">
        <f>"BAG"</f>
        <v>BAG</v>
      </c>
      <c r="J229" s="5">
        <v>5</v>
      </c>
      <c r="K229" s="5">
        <v>0</v>
      </c>
      <c r="L229" t="str">
        <f t="shared" ref="L229" si="487">IFERROR(IF(K229*J229=0,"0",K229*J229),0)</f>
        <v>0</v>
      </c>
      <c r="M229" s="5">
        <v>0</v>
      </c>
      <c r="N229" t="str">
        <f t="shared" ref="N229" si="488">IF(M229*J229=0,"0",M229*J229)</f>
        <v>0</v>
      </c>
      <c r="O229" s="5">
        <v>1.1000000000000001</v>
      </c>
      <c r="P229" s="5">
        <v>24.089999999999996</v>
      </c>
      <c r="Q229" s="5">
        <f t="shared" ref="Q229" si="489">P229*O229</f>
        <v>26.498999999999999</v>
      </c>
      <c r="R229" s="6">
        <f t="shared" ref="R229" si="490">IFERROR(Q229+N229+L229,"")</f>
        <v>26.498999999999999</v>
      </c>
    </row>
    <row r="230" spans="1:18" x14ac:dyDescent="0.25">
      <c r="A230" t="s">
        <v>27</v>
      </c>
      <c r="B230" t="str">
        <f t="shared" ref="B230" si="491">IF($G229="","Hide","Show")</f>
        <v>Show</v>
      </c>
      <c r="H230" t="str">
        <f>"1- 5 lb bag"</f>
        <v>1- 5 lb bag</v>
      </c>
    </row>
    <row r="231" spans="1:18" x14ac:dyDescent="0.25">
      <c r="A231" t="s">
        <v>27</v>
      </c>
      <c r="B231" t="str">
        <f t="shared" si="401"/>
        <v>Show</v>
      </c>
      <c r="E231" s="1"/>
      <c r="F231" t="str">
        <f>"""Ceres4"",""TCP-LIVE"",""27"",""1"",""P449997"""</f>
        <v>"Ceres4","TCP-LIVE","27","1","P449997"</v>
      </c>
      <c r="G231" t="str">
        <f>"P449997"</f>
        <v>P449997</v>
      </c>
      <c r="H231" t="str">
        <f>"Protein-Chicken White Canned"</f>
        <v>Protein-Chicken White Canned</v>
      </c>
      <c r="I231" s="5" t="str">
        <f>"CS"</f>
        <v>CS</v>
      </c>
      <c r="J231" s="5">
        <v>12</v>
      </c>
      <c r="K231" s="5">
        <v>0</v>
      </c>
      <c r="L231" t="str">
        <f t="shared" ref="L231" si="492">IFERROR(IF(K231*J231=0,"0",K231*J231),0)</f>
        <v>0</v>
      </c>
      <c r="M231" s="5">
        <v>0</v>
      </c>
      <c r="N231" t="str">
        <f t="shared" ref="N231" si="493">IF(M231*J231=0,"0",M231*J231)</f>
        <v>0</v>
      </c>
      <c r="O231" s="5">
        <v>1.2</v>
      </c>
      <c r="P231" s="5">
        <v>16.920000000000002</v>
      </c>
      <c r="Q231" s="5">
        <f t="shared" ref="Q231" si="494">P231*O231</f>
        <v>20.304000000000002</v>
      </c>
      <c r="R231" s="6">
        <f t="shared" ref="R231" si="495">IFERROR(Q231+N231+L231,"")</f>
        <v>20.304000000000002</v>
      </c>
    </row>
    <row r="232" spans="1:18" x14ac:dyDescent="0.25">
      <c r="A232" t="s">
        <v>27</v>
      </c>
      <c r="B232" t="str">
        <f t="shared" ref="B232" si="496">IF($G231="","Hide","Show")</f>
        <v>Show</v>
      </c>
      <c r="H232" t="str">
        <f>"12/12.5 oz"</f>
        <v>12/12.5 oz</v>
      </c>
    </row>
    <row r="233" spans="1:18" x14ac:dyDescent="0.25">
      <c r="A233" t="s">
        <v>27</v>
      </c>
      <c r="B233" t="str">
        <f t="shared" si="401"/>
        <v>Show</v>
      </c>
      <c r="E233" s="1"/>
      <c r="F233" t="str">
        <f>"""Ceres4"",""TCP-LIVE"",""27"",""1"",""P449999"""</f>
        <v>"Ceres4","TCP-LIVE","27","1","P449999"</v>
      </c>
      <c r="G233" t="str">
        <f>"P449999"</f>
        <v>P449999</v>
      </c>
      <c r="H233" t="str">
        <f>"Protein - Chicken Wings"</f>
        <v>Protein - Chicken Wings</v>
      </c>
      <c r="I233" s="5" t="str">
        <f>"EA"</f>
        <v>EA</v>
      </c>
      <c r="J233" s="5">
        <v>5</v>
      </c>
      <c r="K233" s="5">
        <v>0</v>
      </c>
      <c r="L233" t="str">
        <f t="shared" ref="L233" si="497">IFERROR(IF(K233*J233=0,"0",K233*J233),0)</f>
        <v>0</v>
      </c>
      <c r="M233" s="5">
        <v>0</v>
      </c>
      <c r="N233" t="str">
        <f t="shared" ref="N233" si="498">IF(M233*J233=0,"0",M233*J233)</f>
        <v>0</v>
      </c>
      <c r="O233" s="5">
        <v>1.1000000000000001</v>
      </c>
      <c r="P233" s="5">
        <v>23.116669999999999</v>
      </c>
      <c r="Q233" s="5">
        <f t="shared" ref="Q233" si="499">P233*O233</f>
        <v>25.428337000000003</v>
      </c>
      <c r="R233" s="6">
        <f t="shared" ref="R233" si="500">IFERROR(Q233+N233+L233,"")</f>
        <v>25.428337000000003</v>
      </c>
    </row>
    <row r="234" spans="1:18" x14ac:dyDescent="0.25">
      <c r="A234" t="s">
        <v>27</v>
      </c>
      <c r="B234" t="str">
        <f t="shared" ref="B234" si="501">IF($G233="","Hide","Show")</f>
        <v>Show</v>
      </c>
      <c r="H234" t="str">
        <f>"1- 5 lb"</f>
        <v>1- 5 lb</v>
      </c>
    </row>
    <row r="235" spans="1:18" x14ac:dyDescent="0.25">
      <c r="A235" t="s">
        <v>27</v>
      </c>
      <c r="B235" t="str">
        <f t="shared" si="401"/>
        <v>Show</v>
      </c>
      <c r="E235" s="1"/>
      <c r="F235" t="str">
        <f>"""Ceres4"",""TCP-LIVE"",""27"",""1"",""P450017"""</f>
        <v>"Ceres4","TCP-LIVE","27","1","P450017"</v>
      </c>
      <c r="G235" t="str">
        <f>"P450017"</f>
        <v>P450017</v>
      </c>
      <c r="H235" t="str">
        <f>"Protein - Turkey Sliced Breast Smoked "</f>
        <v xml:space="preserve">Protein - Turkey Sliced Breast Smoked </v>
      </c>
      <c r="I235" s="5" t="str">
        <f>"CS"</f>
        <v>CS</v>
      </c>
      <c r="J235" s="5">
        <v>12</v>
      </c>
      <c r="K235" s="5">
        <v>0</v>
      </c>
      <c r="L235" t="str">
        <f t="shared" ref="L235" si="502">IFERROR(IF(K235*J235=0,"0",K235*J235),0)</f>
        <v>0</v>
      </c>
      <c r="M235" s="5">
        <v>0</v>
      </c>
      <c r="N235" t="str">
        <f t="shared" ref="N235" si="503">IF(M235*J235=0,"0",M235*J235)</f>
        <v>0</v>
      </c>
      <c r="O235" s="5">
        <v>0.5</v>
      </c>
      <c r="P235" s="5">
        <v>7.1022200000000009</v>
      </c>
      <c r="Q235" s="5">
        <f t="shared" ref="Q235" si="504">P235*O235</f>
        <v>3.5511100000000004</v>
      </c>
      <c r="R235" s="6">
        <f t="shared" ref="R235" si="505">IFERROR(Q235+N235+L235,"")</f>
        <v>3.5511100000000004</v>
      </c>
    </row>
    <row r="236" spans="1:18" x14ac:dyDescent="0.25">
      <c r="A236" t="s">
        <v>27</v>
      </c>
      <c r="B236" t="str">
        <f t="shared" ref="B236" si="506">IF($G235="","Hide","Show")</f>
        <v>Show</v>
      </c>
      <c r="H236" t="str">
        <f>"6-2 lb"</f>
        <v>6-2 lb</v>
      </c>
    </row>
    <row r="237" spans="1:18" x14ac:dyDescent="0.25">
      <c r="A237" t="s">
        <v>27</v>
      </c>
      <c r="B237" t="str">
        <f t="shared" si="401"/>
        <v>Show</v>
      </c>
      <c r="E237" s="1"/>
      <c r="F237" t="str">
        <f>"""Ceres4"",""TCP-LIVE"",""27"",""1"",""P480013"""</f>
        <v>"Ceres4","TCP-LIVE","27","1","P480013"</v>
      </c>
      <c r="G237" t="str">
        <f>"P480013"</f>
        <v>P480013</v>
      </c>
      <c r="H237" t="str">
        <f>"Protein - Luncheon Loaf"</f>
        <v>Protein - Luncheon Loaf</v>
      </c>
      <c r="I237" s="5" t="str">
        <f>"CS"</f>
        <v>CS</v>
      </c>
      <c r="J237" s="5">
        <v>9</v>
      </c>
      <c r="K237" s="5">
        <v>0</v>
      </c>
      <c r="L237" t="str">
        <f t="shared" ref="L237" si="507">IFERROR(IF(K237*J237=0,"0",K237*J237),0)</f>
        <v>0</v>
      </c>
      <c r="M237" s="5">
        <v>0</v>
      </c>
      <c r="N237" t="str">
        <f t="shared" ref="N237" si="508">IF(M237*J237=0,"0",M237*J237)</f>
        <v>0</v>
      </c>
      <c r="O237" s="5">
        <v>1.2</v>
      </c>
      <c r="P237" s="5">
        <v>9.41</v>
      </c>
      <c r="Q237" s="5">
        <f t="shared" ref="Q237" si="509">P237*O237</f>
        <v>11.292</v>
      </c>
      <c r="R237" s="6">
        <f t="shared" ref="R237" si="510">IFERROR(Q237+N237+L237,"")</f>
        <v>11.292</v>
      </c>
    </row>
    <row r="238" spans="1:18" x14ac:dyDescent="0.25">
      <c r="A238" t="s">
        <v>27</v>
      </c>
      <c r="B238" t="str">
        <f t="shared" ref="B238" si="511">IF($G237="","Hide","Show")</f>
        <v>Show</v>
      </c>
      <c r="H238" t="str">
        <f>"12-12 oz"</f>
        <v>12-12 oz</v>
      </c>
    </row>
    <row r="239" spans="1:18" x14ac:dyDescent="0.25">
      <c r="A239" t="s">
        <v>27</v>
      </c>
      <c r="B239" t="str">
        <f t="shared" si="401"/>
        <v>Show</v>
      </c>
      <c r="E239" s="1"/>
      <c r="F239" t="str">
        <f>"""Ceres4"",""TCP-LIVE"",""27"",""1"",""P480030"""</f>
        <v>"Ceres4","TCP-LIVE","27","1","P480030"</v>
      </c>
      <c r="G239" t="str">
        <f>"P480030"</f>
        <v>P480030</v>
      </c>
      <c r="H239" t="str">
        <f>"Protein - Shrimp Raw"</f>
        <v>Protein - Shrimp Raw</v>
      </c>
      <c r="I239" s="5" t="str">
        <f>"BAG"</f>
        <v>BAG</v>
      </c>
      <c r="J239" s="5">
        <v>2</v>
      </c>
      <c r="K239" s="5">
        <v>0</v>
      </c>
      <c r="L239" t="str">
        <f t="shared" ref="L239" si="512">IFERROR(IF(K239*J239=0,"0",K239*J239),0)</f>
        <v>0</v>
      </c>
      <c r="M239" s="5">
        <v>0</v>
      </c>
      <c r="N239" t="str">
        <f t="shared" ref="N239" si="513">IF(M239*J239=0,"0",M239*J239)</f>
        <v>0</v>
      </c>
      <c r="O239" s="5">
        <v>1.05</v>
      </c>
      <c r="P239" s="5">
        <v>9.8960000000000008</v>
      </c>
      <c r="Q239" s="5">
        <f t="shared" ref="Q239" si="514">P239*O239</f>
        <v>10.3908</v>
      </c>
      <c r="R239" s="6">
        <f t="shared" ref="R239" si="515">IFERROR(Q239+N239+L239,"")</f>
        <v>10.3908</v>
      </c>
    </row>
    <row r="240" spans="1:18" x14ac:dyDescent="0.25">
      <c r="A240" t="s">
        <v>27</v>
      </c>
      <c r="B240" t="str">
        <f t="shared" ref="B240" si="516">IF($G239="","Hide","Show")</f>
        <v>Show</v>
      </c>
      <c r="H240" t="str">
        <f>"1 - 2 lb "</f>
        <v xml:space="preserve">1 - 2 lb </v>
      </c>
    </row>
    <row r="241" spans="1:18" x14ac:dyDescent="0.25">
      <c r="A241" t="s">
        <v>27</v>
      </c>
      <c r="B241" t="str">
        <f t="shared" si="401"/>
        <v>Show</v>
      </c>
      <c r="E241" s="1"/>
      <c r="F241" t="str">
        <f>"""Ceres4"",""TCP-LIVE"",""27"",""1"",""P480031"""</f>
        <v>"Ceres4","TCP-LIVE","27","1","P480031"</v>
      </c>
      <c r="G241" t="str">
        <f>"P480031"</f>
        <v>P480031</v>
      </c>
      <c r="H241" t="str">
        <f>"Protein- Breaded shrimp"</f>
        <v>Protein- Breaded shrimp</v>
      </c>
      <c r="I241" s="5" t="str">
        <f>"BAG"</f>
        <v>BAG</v>
      </c>
      <c r="J241" s="5">
        <v>4</v>
      </c>
      <c r="K241" s="5">
        <v>0</v>
      </c>
      <c r="L241" t="str">
        <f t="shared" ref="L241" si="517">IFERROR(IF(K241*J241=0,"0",K241*J241),0)</f>
        <v>0</v>
      </c>
      <c r="M241" s="5">
        <v>0</v>
      </c>
      <c r="N241" t="str">
        <f t="shared" ref="N241" si="518">IF(M241*J241=0,"0",M241*J241)</f>
        <v>0</v>
      </c>
      <c r="O241" s="5">
        <v>1.1000000000000001</v>
      </c>
      <c r="P241" s="5">
        <v>11.74</v>
      </c>
      <c r="Q241" s="5">
        <f t="shared" ref="Q241" si="519">P241*O241</f>
        <v>12.914000000000001</v>
      </c>
      <c r="R241" s="6">
        <f t="shared" ref="R241" si="520">IFERROR(Q241+N241+L241,"")</f>
        <v>12.914000000000001</v>
      </c>
    </row>
    <row r="242" spans="1:18" x14ac:dyDescent="0.25">
      <c r="A242" t="s">
        <v>27</v>
      </c>
      <c r="B242" t="str">
        <f t="shared" ref="B242" si="521">IF($G241="","Hide","Show")</f>
        <v>Show</v>
      </c>
      <c r="H242" t="str">
        <f>"1 - 3.5 lb Bag"</f>
        <v>1 - 3.5 lb Bag</v>
      </c>
    </row>
    <row r="243" spans="1:18" x14ac:dyDescent="0.25">
      <c r="A243" t="s">
        <v>27</v>
      </c>
      <c r="B243" t="str">
        <f t="shared" si="401"/>
        <v>Show</v>
      </c>
      <c r="E243" s="1"/>
      <c r="F243" t="str">
        <f>"""Ceres4"",""TCP-LIVE"",""27"",""1"",""P490049"""</f>
        <v>"Ceres4","TCP-LIVE","27","1","P490049"</v>
      </c>
      <c r="G243" t="str">
        <f>"P490049"</f>
        <v>P490049</v>
      </c>
      <c r="H243" t="str">
        <f>"Protein - Sausage Italian Rope"</f>
        <v>Protein - Sausage Italian Rope</v>
      </c>
      <c r="I243" s="5" t="str">
        <f>"CS"</f>
        <v>CS</v>
      </c>
      <c r="J243" s="5">
        <v>15</v>
      </c>
      <c r="K243" s="5">
        <v>0</v>
      </c>
      <c r="L243" t="str">
        <f t="shared" ref="L243" si="522">IFERROR(IF(K243*J243=0,"0",K243*J243),0)</f>
        <v>0</v>
      </c>
      <c r="M243" s="5">
        <v>0</v>
      </c>
      <c r="N243" t="str">
        <f t="shared" ref="N243" si="523">IF(M243*J243=0,"0",M243*J243)</f>
        <v>0</v>
      </c>
      <c r="O243" s="5">
        <v>1.05</v>
      </c>
      <c r="P243" s="5">
        <v>21.6</v>
      </c>
      <c r="Q243" s="5">
        <f t="shared" ref="Q243" si="524">P243*O243</f>
        <v>22.680000000000003</v>
      </c>
      <c r="R243" s="6">
        <f t="shared" ref="R243" si="525">IFERROR(Q243+N243+L243,"")</f>
        <v>22.680000000000003</v>
      </c>
    </row>
    <row r="244" spans="1:18" x14ac:dyDescent="0.25">
      <c r="A244" t="s">
        <v>27</v>
      </c>
      <c r="B244" t="str">
        <f t="shared" ref="B244" si="526">IF($G243="","Hide","Show")</f>
        <v>Show</v>
      </c>
      <c r="H244" t="str">
        <f>"3-5 lb"</f>
        <v>3-5 lb</v>
      </c>
    </row>
    <row r="245" spans="1:18" x14ac:dyDescent="0.25">
      <c r="A245" t="s">
        <v>27</v>
      </c>
      <c r="B245" t="str">
        <f t="shared" ref="B245" si="527">IF($G195="","Hide","Show")</f>
        <v>Show</v>
      </c>
    </row>
    <row r="246" spans="1:18" ht="17.25" x14ac:dyDescent="0.3">
      <c r="A246" t="s">
        <v>27</v>
      </c>
      <c r="B246" t="str">
        <f t="shared" ref="B246" si="528">IF($G247="","Hide","Show")</f>
        <v>Show</v>
      </c>
      <c r="C246" t="str">
        <f>"""Ceres4"",""TCP-LIVE"",""14012281"",""1"",""PRO-NON"""</f>
        <v>"Ceres4","TCP-LIVE","14012281","1","PRO-NON"</v>
      </c>
      <c r="D246" t="s">
        <v>57</v>
      </c>
      <c r="E246" s="9" t="s">
        <v>10</v>
      </c>
      <c r="F246" s="2"/>
      <c r="G246" s="8" t="s">
        <v>78</v>
      </c>
    </row>
    <row r="247" spans="1:18" x14ac:dyDescent="0.25">
      <c r="A247" t="s">
        <v>27</v>
      </c>
      <c r="B247" t="str">
        <f t="shared" ref="B247" si="529">IF($G247="","Hide","Show")</f>
        <v>Show</v>
      </c>
      <c r="E247" s="1"/>
      <c r="F247" t="s">
        <v>98</v>
      </c>
      <c r="G247" t="s">
        <v>79</v>
      </c>
      <c r="H247" t="s">
        <v>91</v>
      </c>
      <c r="I247" s="5" t="s">
        <v>95</v>
      </c>
      <c r="J247" s="5">
        <v>23</v>
      </c>
      <c r="K247" s="5">
        <v>0</v>
      </c>
      <c r="L247" t="str">
        <f t="shared" ref="L247" si="530">IFERROR(IF(K247*J247=0,"0",K247*J247),0)</f>
        <v>0</v>
      </c>
      <c r="M247" s="5">
        <v>0</v>
      </c>
      <c r="N247" t="str">
        <f t="shared" ref="N247" si="531">IF(M247*J247=0,"0",M247*J247)</f>
        <v>0</v>
      </c>
      <c r="O247" s="5">
        <v>1.2</v>
      </c>
      <c r="P247" s="5">
        <v>11.87</v>
      </c>
      <c r="Q247" s="5">
        <f t="shared" ref="Q247" si="532">P247*O247</f>
        <v>14.243999999999998</v>
      </c>
      <c r="R247" s="6">
        <f t="shared" ref="R247" si="533">IFERROR(Q247+N247+L247,"")</f>
        <v>14.243999999999998</v>
      </c>
    </row>
    <row r="248" spans="1:18" x14ac:dyDescent="0.25">
      <c r="A248" t="s">
        <v>27</v>
      </c>
      <c r="B248" t="str">
        <f t="shared" ref="B248" si="534">IF($G247="","Hide","Show")</f>
        <v>Show</v>
      </c>
      <c r="H248" t="s">
        <v>92</v>
      </c>
    </row>
    <row r="249" spans="1:18" x14ac:dyDescent="0.25">
      <c r="A249" t="s">
        <v>27</v>
      </c>
      <c r="B249" t="str">
        <f t="shared" ref="B249" si="535">IF($G247="","Hide","Show")</f>
        <v>Show</v>
      </c>
    </row>
    <row r="250" spans="1:18" ht="17.25" hidden="1" x14ac:dyDescent="0.3">
      <c r="A250" t="s">
        <v>27</v>
      </c>
      <c r="B250" t="str">
        <f t="shared" ref="B250" si="536">IF($G251="","Hide","Show")</f>
        <v>Hide</v>
      </c>
      <c r="C250" t="str">
        <f>"""Ceres4"",""TCP-LIVE"",""14012281"",""1"",""RICE"""</f>
        <v>"Ceres4","TCP-LIVE","14012281","1","RICE"</v>
      </c>
      <c r="D250" t="s">
        <v>58</v>
      </c>
      <c r="E250" s="9" t="s">
        <v>10</v>
      </c>
      <c r="F250" s="2"/>
      <c r="G250" s="8" t="s">
        <v>80</v>
      </c>
    </row>
    <row r="251" spans="1:18" hidden="1" x14ac:dyDescent="0.25">
      <c r="A251" t="s">
        <v>27</v>
      </c>
      <c r="B251" t="str">
        <f t="shared" ref="B251" si="537">IF($G251="","Hide","Show")</f>
        <v>Hide</v>
      </c>
      <c r="E251" s="1"/>
      <c r="F251" t="s">
        <v>28</v>
      </c>
      <c r="G251" t="s">
        <v>28</v>
      </c>
      <c r="H251" t="s">
        <v>28</v>
      </c>
      <c r="I251" s="5" t="s">
        <v>28</v>
      </c>
      <c r="J251" s="5" t="s">
        <v>28</v>
      </c>
      <c r="K251" s="5" t="s">
        <v>96</v>
      </c>
      <c r="L251">
        <f t="shared" ref="L251" si="538">IFERROR(IF(K251*J251=0,"0",K251*J251),0)</f>
        <v>0</v>
      </c>
      <c r="M251" s="5" t="s">
        <v>28</v>
      </c>
      <c r="N251" t="e">
        <f t="shared" ref="N251" si="539">IF(M251*J251=0,"0",M251*J251)</f>
        <v>#VALUE!</v>
      </c>
      <c r="O251" s="5" t="s">
        <v>28</v>
      </c>
      <c r="P251" s="5" t="s">
        <v>28</v>
      </c>
      <c r="Q251" s="5" t="e">
        <f t="shared" ref="Q251" si="540">P251*O251</f>
        <v>#VALUE!</v>
      </c>
      <c r="R251" s="6" t="str">
        <f t="shared" ref="R251" si="541">IFERROR(Q251+N251+L251,"")</f>
        <v/>
      </c>
    </row>
    <row r="252" spans="1:18" hidden="1" x14ac:dyDescent="0.25">
      <c r="A252" t="s">
        <v>27</v>
      </c>
      <c r="B252" t="str">
        <f t="shared" ref="B252" si="542">IF($G251="","Hide","Show")</f>
        <v>Hide</v>
      </c>
      <c r="H252" t="s">
        <v>28</v>
      </c>
    </row>
    <row r="253" spans="1:18" hidden="1" x14ac:dyDescent="0.25">
      <c r="A253" t="s">
        <v>27</v>
      </c>
      <c r="B253" t="str">
        <f t="shared" ref="B253" si="543">IF($G251="","Hide","Show")</f>
        <v>Hide</v>
      </c>
    </row>
    <row r="254" spans="1:18" ht="17.25" hidden="1" x14ac:dyDescent="0.3">
      <c r="A254" t="s">
        <v>27</v>
      </c>
      <c r="B254" t="str">
        <f t="shared" ref="B254" si="544">IF($G255="","Hide","Show")</f>
        <v>Hide</v>
      </c>
      <c r="C254" t="str">
        <f>"""Ceres4"",""TCP-LIVE"",""14012281"",""1"",""SALVAGE"""</f>
        <v>"Ceres4","TCP-LIVE","14012281","1","SALVAGE"</v>
      </c>
      <c r="D254" t="s">
        <v>59</v>
      </c>
      <c r="E254" s="9" t="s">
        <v>10</v>
      </c>
      <c r="F254" s="2"/>
      <c r="G254" s="8" t="s">
        <v>81</v>
      </c>
    </row>
    <row r="255" spans="1:18" hidden="1" x14ac:dyDescent="0.25">
      <c r="A255" t="s">
        <v>27</v>
      </c>
      <c r="B255" t="str">
        <f t="shared" ref="B255" si="545">IF($G255="","Hide","Show")</f>
        <v>Hide</v>
      </c>
      <c r="E255" s="1"/>
      <c r="F255" t="s">
        <v>28</v>
      </c>
      <c r="G255" t="s">
        <v>28</v>
      </c>
      <c r="H255" t="s">
        <v>28</v>
      </c>
      <c r="I255" s="5" t="s">
        <v>28</v>
      </c>
      <c r="J255" s="5" t="s">
        <v>28</v>
      </c>
      <c r="K255" s="5" t="s">
        <v>96</v>
      </c>
      <c r="L255">
        <f t="shared" ref="L255" si="546">IFERROR(IF(K255*J255=0,"0",K255*J255),0)</f>
        <v>0</v>
      </c>
      <c r="M255" s="5" t="s">
        <v>28</v>
      </c>
      <c r="N255" t="e">
        <f t="shared" ref="N255" si="547">IF(M255*J255=0,"0",M255*J255)</f>
        <v>#VALUE!</v>
      </c>
      <c r="O255" s="5" t="s">
        <v>28</v>
      </c>
      <c r="P255" s="5" t="s">
        <v>28</v>
      </c>
      <c r="Q255" s="5" t="e">
        <f t="shared" ref="Q255" si="548">P255*O255</f>
        <v>#VALUE!</v>
      </c>
      <c r="R255" s="6" t="str">
        <f t="shared" ref="R255" si="549">IFERROR(Q255+N255+L255,"")</f>
        <v/>
      </c>
    </row>
    <row r="256" spans="1:18" hidden="1" x14ac:dyDescent="0.25">
      <c r="A256" t="s">
        <v>27</v>
      </c>
      <c r="B256" t="str">
        <f t="shared" ref="B256" si="550">IF($G255="","Hide","Show")</f>
        <v>Hide</v>
      </c>
      <c r="H256" t="s">
        <v>28</v>
      </c>
    </row>
    <row r="257" spans="1:18" hidden="1" x14ac:dyDescent="0.25">
      <c r="A257" t="s">
        <v>27</v>
      </c>
      <c r="B257" t="str">
        <f t="shared" ref="B257" si="551">IF($G255="","Hide","Show")</f>
        <v>Hide</v>
      </c>
    </row>
    <row r="258" spans="1:18" ht="17.25" x14ac:dyDescent="0.3">
      <c r="A258" t="s">
        <v>27</v>
      </c>
      <c r="B258" t="str">
        <f t="shared" ref="B258" si="552">IF($G259="","Hide","Show")</f>
        <v>Show</v>
      </c>
      <c r="C258" t="str">
        <f>"""Ceres4"",""TCP-LIVE"",""14012281"",""1"",""SNACK"""</f>
        <v>"Ceres4","TCP-LIVE","14012281","1","SNACK"</v>
      </c>
      <c r="D258" t="s">
        <v>60</v>
      </c>
      <c r="E258" s="9" t="s">
        <v>10</v>
      </c>
      <c r="F258" s="2"/>
      <c r="G258" s="8" t="s">
        <v>82</v>
      </c>
    </row>
    <row r="259" spans="1:18" x14ac:dyDescent="0.25">
      <c r="A259" t="s">
        <v>27</v>
      </c>
      <c r="B259" t="str">
        <f t="shared" ref="B259" si="553">IF($G259="","Hide","Show")</f>
        <v>Show</v>
      </c>
      <c r="E259" s="1"/>
      <c r="F259" t="s">
        <v>99</v>
      </c>
      <c r="G259" t="s">
        <v>83</v>
      </c>
      <c r="H259" t="s">
        <v>93</v>
      </c>
      <c r="I259" s="5" t="s">
        <v>95</v>
      </c>
      <c r="J259" s="5">
        <v>9</v>
      </c>
      <c r="K259" s="5">
        <v>0</v>
      </c>
      <c r="L259" t="str">
        <f t="shared" ref="L259" si="554">IFERROR(IF(K259*J259=0,"0",K259*J259),0)</f>
        <v>0</v>
      </c>
      <c r="M259" s="5">
        <v>0</v>
      </c>
      <c r="N259" t="str">
        <f t="shared" ref="N259" si="555">IF(M259*J259=0,"0",M259*J259)</f>
        <v>0</v>
      </c>
      <c r="O259" s="5">
        <v>1.05</v>
      </c>
      <c r="P259" s="5">
        <v>44.97</v>
      </c>
      <c r="Q259" s="5">
        <f t="shared" ref="Q259" si="556">P259*O259</f>
        <v>47.218499999999999</v>
      </c>
      <c r="R259" s="6">
        <f t="shared" ref="R259" si="557">IFERROR(Q259+N259+L259,"")</f>
        <v>47.218499999999999</v>
      </c>
    </row>
    <row r="260" spans="1:18" x14ac:dyDescent="0.25">
      <c r="A260" t="s">
        <v>27</v>
      </c>
      <c r="B260" t="str">
        <f t="shared" ref="B260" si="558">IF($G259="","Hide","Show")</f>
        <v>Show</v>
      </c>
      <c r="H260" t="s">
        <v>94</v>
      </c>
    </row>
    <row r="261" spans="1:18" x14ac:dyDescent="0.25">
      <c r="A261" t="s">
        <v>27</v>
      </c>
      <c r="B261" t="str">
        <f t="shared" ref="B261" si="559">IF($G259="","Hide","Show")</f>
        <v>Show</v>
      </c>
    </row>
    <row r="262" spans="1:18" ht="17.25" hidden="1" x14ac:dyDescent="0.3">
      <c r="A262" t="s">
        <v>27</v>
      </c>
      <c r="B262" t="str">
        <f t="shared" ref="B262" si="560">IF($G263="","Hide","Show")</f>
        <v>Hide</v>
      </c>
      <c r="C262" t="str">
        <f>"""Ceres4"",""TCP-LIVE"",""14012281"",""1"",""SOUP"""</f>
        <v>"Ceres4","TCP-LIVE","14012281","1","SOUP"</v>
      </c>
      <c r="D262" t="s">
        <v>61</v>
      </c>
      <c r="E262" s="9" t="s">
        <v>10</v>
      </c>
      <c r="F262" s="2"/>
      <c r="G262" s="8" t="s">
        <v>84</v>
      </c>
    </row>
    <row r="263" spans="1:18" hidden="1" x14ac:dyDescent="0.25">
      <c r="A263" t="s">
        <v>27</v>
      </c>
      <c r="B263" t="str">
        <f t="shared" ref="B263" si="561">IF($G263="","Hide","Show")</f>
        <v>Hide</v>
      </c>
      <c r="E263" s="1"/>
      <c r="F263" t="s">
        <v>28</v>
      </c>
      <c r="G263" t="s">
        <v>28</v>
      </c>
      <c r="H263" t="s">
        <v>28</v>
      </c>
      <c r="I263" s="5" t="s">
        <v>28</v>
      </c>
      <c r="J263" s="5" t="s">
        <v>28</v>
      </c>
      <c r="K263" s="5" t="s">
        <v>96</v>
      </c>
      <c r="L263">
        <f t="shared" ref="L263" si="562">IFERROR(IF(K263*J263=0,"0",K263*J263),0)</f>
        <v>0</v>
      </c>
      <c r="M263" s="5" t="s">
        <v>28</v>
      </c>
      <c r="N263" t="e">
        <f t="shared" ref="N263" si="563">IF(M263*J263=0,"0",M263*J263)</f>
        <v>#VALUE!</v>
      </c>
      <c r="O263" s="5" t="s">
        <v>28</v>
      </c>
      <c r="P263" s="5" t="s">
        <v>28</v>
      </c>
      <c r="Q263" s="5" t="e">
        <f t="shared" ref="Q263" si="564">P263*O263</f>
        <v>#VALUE!</v>
      </c>
      <c r="R263" s="6" t="str">
        <f t="shared" ref="R263" si="565">IFERROR(Q263+N263+L263,"")</f>
        <v/>
      </c>
    </row>
    <row r="264" spans="1:18" hidden="1" x14ac:dyDescent="0.25">
      <c r="A264" t="s">
        <v>27</v>
      </c>
      <c r="B264" t="str">
        <f t="shared" ref="B264" si="566">IF($G263="","Hide","Show")</f>
        <v>Hide</v>
      </c>
      <c r="H264" t="s">
        <v>28</v>
      </c>
    </row>
    <row r="265" spans="1:18" hidden="1" x14ac:dyDescent="0.25">
      <c r="A265" t="s">
        <v>27</v>
      </c>
      <c r="B265" t="str">
        <f t="shared" ref="B265" si="567">IF($G263="","Hide","Show")</f>
        <v>Hide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Coo</cp:lastModifiedBy>
  <cp:lastPrinted>2013-11-07T23:23:16Z</cp:lastPrinted>
  <dcterms:created xsi:type="dcterms:W3CDTF">2013-03-28T16:24:23Z</dcterms:created>
  <dcterms:modified xsi:type="dcterms:W3CDTF">2019-08-12T16:43:59Z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