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mon\Shopping List\"/>
    </mc:Choice>
  </mc:AlternateContent>
  <bookViews>
    <workbookView xWindow="0" yWindow="0" windowWidth="28800" windowHeight="1213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H18" i="2" l="1"/>
  <c r="H19" i="2"/>
  <c r="H20" i="2"/>
  <c r="H21" i="2"/>
  <c r="H22" i="2"/>
  <c r="H23" i="2"/>
  <c r="H24" i="2"/>
  <c r="H25" i="2"/>
  <c r="H26" i="2"/>
  <c r="H17" i="2"/>
  <c r="I17" i="2"/>
  <c r="I19" i="2"/>
  <c r="I21" i="2"/>
  <c r="I23" i="2"/>
  <c r="I25" i="2"/>
  <c r="G17" i="2"/>
  <c r="G19" i="2"/>
  <c r="G21" i="2"/>
  <c r="B21" i="2" s="1"/>
  <c r="G23" i="2"/>
  <c r="G25" i="2"/>
  <c r="F19" i="2"/>
  <c r="F21" i="2"/>
  <c r="F23" i="2"/>
  <c r="F25" i="2"/>
  <c r="B26" i="2"/>
  <c r="Q25" i="2"/>
  <c r="N25" i="2"/>
  <c r="B25" i="2"/>
  <c r="B24" i="2"/>
  <c r="Q23" i="2"/>
  <c r="N23" i="2"/>
  <c r="B23" i="2"/>
  <c r="Q21" i="2"/>
  <c r="N21" i="2"/>
  <c r="B20" i="2"/>
  <c r="Q19" i="2"/>
  <c r="N19" i="2"/>
  <c r="B19" i="2"/>
  <c r="F31" i="2"/>
  <c r="B22" i="2" l="1"/>
  <c r="L31" i="2"/>
  <c r="Q31" i="2"/>
  <c r="L21" i="2"/>
  <c r="L25" i="2"/>
  <c r="B32" i="2"/>
  <c r="B31" i="2"/>
  <c r="N31" i="2"/>
  <c r="L19" i="2"/>
  <c r="L23" i="2"/>
  <c r="R23" i="2" s="1"/>
  <c r="R19" i="2"/>
  <c r="R21" i="2"/>
  <c r="R25" i="2"/>
  <c r="H40" i="2"/>
  <c r="H41" i="2"/>
  <c r="H42" i="2"/>
  <c r="H43" i="2"/>
  <c r="H44" i="2"/>
  <c r="H45" i="2"/>
  <c r="H46" i="2"/>
  <c r="H47" i="2"/>
  <c r="H48" i="2"/>
  <c r="H49" i="2"/>
  <c r="H50" i="2"/>
  <c r="H39" i="2"/>
  <c r="I39" i="2"/>
  <c r="I41" i="2"/>
  <c r="I43" i="2"/>
  <c r="I45" i="2"/>
  <c r="I47" i="2"/>
  <c r="I49" i="2"/>
  <c r="G39" i="2"/>
  <c r="G41" i="2"/>
  <c r="G43" i="2"/>
  <c r="G45" i="2"/>
  <c r="G47" i="2"/>
  <c r="G49" i="2"/>
  <c r="R31" i="2" l="1"/>
  <c r="F41" i="2"/>
  <c r="F43" i="2"/>
  <c r="F45" i="2"/>
  <c r="F47" i="2"/>
  <c r="F49" i="2"/>
  <c r="B50" i="2"/>
  <c r="Q49" i="2"/>
  <c r="N49" i="2"/>
  <c r="B49" i="2"/>
  <c r="B48" i="2"/>
  <c r="Q47" i="2"/>
  <c r="N47" i="2"/>
  <c r="B47" i="2"/>
  <c r="B46" i="2"/>
  <c r="Q45" i="2"/>
  <c r="N45" i="2"/>
  <c r="B45" i="2"/>
  <c r="B44" i="2"/>
  <c r="Q43" i="2"/>
  <c r="N43" i="2"/>
  <c r="B43" i="2"/>
  <c r="B42" i="2"/>
  <c r="Q41" i="2"/>
  <c r="N41" i="2"/>
  <c r="B41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53" i="2"/>
  <c r="I53" i="2"/>
  <c r="I55" i="2"/>
  <c r="I57" i="2"/>
  <c r="I59" i="2"/>
  <c r="I61" i="2"/>
  <c r="I63" i="2"/>
  <c r="I65" i="2"/>
  <c r="I67" i="2"/>
  <c r="I69" i="2"/>
  <c r="I71" i="2"/>
  <c r="I73" i="2"/>
  <c r="G53" i="2"/>
  <c r="G55" i="2"/>
  <c r="G57" i="2"/>
  <c r="G59" i="2"/>
  <c r="G61" i="2"/>
  <c r="G63" i="2"/>
  <c r="G65" i="2"/>
  <c r="G67" i="2"/>
  <c r="G69" i="2"/>
  <c r="G71" i="2"/>
  <c r="G73" i="2"/>
  <c r="L41" i="2" l="1"/>
  <c r="R41" i="2" s="1"/>
  <c r="L45" i="2"/>
  <c r="R45" i="2" s="1"/>
  <c r="L49" i="2"/>
  <c r="R49" i="2" s="1"/>
  <c r="L43" i="2"/>
  <c r="L47" i="2"/>
  <c r="R47" i="2" s="1"/>
  <c r="R43" i="2"/>
  <c r="F55" i="2"/>
  <c r="F57" i="2"/>
  <c r="F59" i="2"/>
  <c r="F61" i="2"/>
  <c r="F63" i="2"/>
  <c r="F65" i="2"/>
  <c r="F67" i="2"/>
  <c r="F69" i="2"/>
  <c r="F71" i="2"/>
  <c r="F73" i="2"/>
  <c r="B74" i="2"/>
  <c r="Q73" i="2"/>
  <c r="N73" i="2"/>
  <c r="B73" i="2"/>
  <c r="B72" i="2"/>
  <c r="Q71" i="2"/>
  <c r="N71" i="2"/>
  <c r="B71" i="2"/>
  <c r="B70" i="2"/>
  <c r="Q69" i="2"/>
  <c r="N69" i="2"/>
  <c r="B69" i="2"/>
  <c r="B68" i="2"/>
  <c r="Q67" i="2"/>
  <c r="N67" i="2"/>
  <c r="B67" i="2"/>
  <c r="B66" i="2"/>
  <c r="Q65" i="2"/>
  <c r="N65" i="2"/>
  <c r="B65" i="2"/>
  <c r="B64" i="2"/>
  <c r="Q63" i="2"/>
  <c r="N63" i="2"/>
  <c r="B63" i="2"/>
  <c r="B62" i="2"/>
  <c r="Q61" i="2"/>
  <c r="N61" i="2"/>
  <c r="B61" i="2"/>
  <c r="B60" i="2"/>
  <c r="Q59" i="2"/>
  <c r="N59" i="2"/>
  <c r="B59" i="2"/>
  <c r="B58" i="2"/>
  <c r="Q57" i="2"/>
  <c r="N57" i="2"/>
  <c r="B57" i="2"/>
  <c r="B56" i="2"/>
  <c r="Q55" i="2"/>
  <c r="N55" i="2"/>
  <c r="B55" i="2"/>
  <c r="F79" i="2"/>
  <c r="F81" i="2"/>
  <c r="B79" i="2" l="1"/>
  <c r="B80" i="2"/>
  <c r="N79" i="2"/>
  <c r="Q81" i="2"/>
  <c r="Q79" i="2"/>
  <c r="B81" i="2"/>
  <c r="B82" i="2"/>
  <c r="L81" i="2"/>
  <c r="N81" i="2"/>
  <c r="L57" i="2"/>
  <c r="L61" i="2"/>
  <c r="R61" i="2" s="1"/>
  <c r="L65" i="2"/>
  <c r="R65" i="2" s="1"/>
  <c r="L69" i="2"/>
  <c r="R69" i="2" s="1"/>
  <c r="L73" i="2"/>
  <c r="L79" i="2"/>
  <c r="L55" i="2"/>
  <c r="R55" i="2" s="1"/>
  <c r="L59" i="2"/>
  <c r="R59" i="2" s="1"/>
  <c r="L63" i="2"/>
  <c r="L67" i="2"/>
  <c r="L71" i="2"/>
  <c r="R71" i="2" s="1"/>
  <c r="R57" i="2"/>
  <c r="R73" i="2"/>
  <c r="R63" i="2"/>
  <c r="R67" i="2"/>
  <c r="F87" i="2"/>
  <c r="B88" i="2" l="1"/>
  <c r="B87" i="2"/>
  <c r="N87" i="2"/>
  <c r="Q87" i="2"/>
  <c r="L87" i="2"/>
  <c r="R81" i="2"/>
  <c r="R79" i="2"/>
  <c r="H96" i="2"/>
  <c r="H97" i="2"/>
  <c r="H98" i="2"/>
  <c r="H99" i="2"/>
  <c r="H100" i="2"/>
  <c r="H101" i="2"/>
  <c r="H102" i="2"/>
  <c r="H103" i="2"/>
  <c r="H104" i="2"/>
  <c r="H95" i="2"/>
  <c r="I95" i="2"/>
  <c r="I97" i="2"/>
  <c r="I99" i="2"/>
  <c r="I101" i="2"/>
  <c r="I103" i="2"/>
  <c r="G95" i="2"/>
  <c r="G97" i="2"/>
  <c r="G99" i="2"/>
  <c r="B100" i="2" s="1"/>
  <c r="G101" i="2"/>
  <c r="G103" i="2"/>
  <c r="B104" i="2" s="1"/>
  <c r="F97" i="2"/>
  <c r="F99" i="2"/>
  <c r="F101" i="2"/>
  <c r="F103" i="2"/>
  <c r="Q103" i="2"/>
  <c r="N103" i="2"/>
  <c r="B103" i="2"/>
  <c r="B102" i="2"/>
  <c r="Q101" i="2"/>
  <c r="N101" i="2"/>
  <c r="B101" i="2"/>
  <c r="Q99" i="2"/>
  <c r="N99" i="2"/>
  <c r="B99" i="2"/>
  <c r="B98" i="2"/>
  <c r="Q97" i="2"/>
  <c r="N97" i="2"/>
  <c r="B9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07" i="2"/>
  <c r="I107" i="2"/>
  <c r="I109" i="2"/>
  <c r="I111" i="2"/>
  <c r="I113" i="2"/>
  <c r="I115" i="2"/>
  <c r="I117" i="2"/>
  <c r="I119" i="2"/>
  <c r="I121" i="2"/>
  <c r="I123" i="2"/>
  <c r="I125" i="2"/>
  <c r="G107" i="2"/>
  <c r="G109" i="2"/>
  <c r="G111" i="2"/>
  <c r="G113" i="2"/>
  <c r="G115" i="2"/>
  <c r="G117" i="2"/>
  <c r="G119" i="2"/>
  <c r="G121" i="2"/>
  <c r="G123" i="2"/>
  <c r="G125" i="2"/>
  <c r="R87" i="2" l="1"/>
  <c r="L97" i="2"/>
  <c r="R97" i="2" s="1"/>
  <c r="L101" i="2"/>
  <c r="L99" i="2"/>
  <c r="L103" i="2"/>
  <c r="R103" i="2" s="1"/>
  <c r="R99" i="2"/>
  <c r="R101" i="2"/>
  <c r="F109" i="2"/>
  <c r="F111" i="2"/>
  <c r="F113" i="2"/>
  <c r="F115" i="2"/>
  <c r="F117" i="2"/>
  <c r="F119" i="2"/>
  <c r="F121" i="2"/>
  <c r="F123" i="2"/>
  <c r="F125" i="2"/>
  <c r="B126" i="2"/>
  <c r="Q125" i="2"/>
  <c r="N125" i="2"/>
  <c r="B125" i="2"/>
  <c r="B124" i="2"/>
  <c r="Q123" i="2"/>
  <c r="N123" i="2"/>
  <c r="B123" i="2"/>
  <c r="B122" i="2"/>
  <c r="Q121" i="2"/>
  <c r="N121" i="2"/>
  <c r="B121" i="2"/>
  <c r="B120" i="2"/>
  <c r="Q119" i="2"/>
  <c r="N119" i="2"/>
  <c r="B119" i="2"/>
  <c r="B118" i="2"/>
  <c r="Q117" i="2"/>
  <c r="N117" i="2"/>
  <c r="B117" i="2"/>
  <c r="B116" i="2"/>
  <c r="Q115" i="2"/>
  <c r="N115" i="2"/>
  <c r="B115" i="2"/>
  <c r="B114" i="2"/>
  <c r="Q113" i="2"/>
  <c r="N113" i="2"/>
  <c r="B113" i="2"/>
  <c r="B112" i="2"/>
  <c r="Q111" i="2"/>
  <c r="N111" i="2"/>
  <c r="B111" i="2"/>
  <c r="B110" i="2"/>
  <c r="Q109" i="2"/>
  <c r="N109" i="2"/>
  <c r="B109" i="2"/>
  <c r="L111" i="2" l="1"/>
  <c r="L115" i="2"/>
  <c r="L119" i="2"/>
  <c r="L123" i="2"/>
  <c r="L109" i="2"/>
  <c r="R109" i="2" s="1"/>
  <c r="L113" i="2"/>
  <c r="R113" i="2" s="1"/>
  <c r="L117" i="2"/>
  <c r="R117" i="2" s="1"/>
  <c r="L121" i="2"/>
  <c r="R121" i="2" s="1"/>
  <c r="L125" i="2"/>
  <c r="R125" i="2" s="1"/>
  <c r="R111" i="2"/>
  <c r="R115" i="2"/>
  <c r="R119" i="2"/>
  <c r="R123" i="2"/>
  <c r="F135" i="2"/>
  <c r="Q135" i="2" l="1"/>
  <c r="B136" i="2"/>
  <c r="B135" i="2"/>
  <c r="L135" i="2"/>
  <c r="N135" i="2"/>
  <c r="F141" i="2"/>
  <c r="B141" i="2" l="1"/>
  <c r="B142" i="2"/>
  <c r="L141" i="2"/>
  <c r="N141" i="2"/>
  <c r="Q141" i="2"/>
  <c r="R135" i="2"/>
  <c r="F147" i="2"/>
  <c r="Q147" i="2" l="1"/>
  <c r="B148" i="2"/>
  <c r="B147" i="2"/>
  <c r="L147" i="2"/>
  <c r="N147" i="2"/>
  <c r="R141" i="2"/>
  <c r="F173" i="2"/>
  <c r="F175" i="2"/>
  <c r="F177" i="2"/>
  <c r="Q173" i="2" l="1"/>
  <c r="B175" i="2"/>
  <c r="B176" i="2"/>
  <c r="L175" i="2"/>
  <c r="N175" i="2"/>
  <c r="Q177" i="2"/>
  <c r="B174" i="2"/>
  <c r="B173" i="2"/>
  <c r="L173" i="2"/>
  <c r="N173" i="2"/>
  <c r="Q175" i="2"/>
  <c r="B178" i="2"/>
  <c r="B177" i="2"/>
  <c r="L177" i="2"/>
  <c r="N177" i="2"/>
  <c r="R147" i="2"/>
  <c r="F191" i="2"/>
  <c r="Q191" i="2" l="1"/>
  <c r="B192" i="2"/>
  <c r="B191" i="2"/>
  <c r="L191" i="2"/>
  <c r="N191" i="2"/>
  <c r="R177" i="2"/>
  <c r="R175" i="2"/>
  <c r="R17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03" i="2"/>
  <c r="I203" i="2"/>
  <c r="I205" i="2"/>
  <c r="I207" i="2"/>
  <c r="I209" i="2"/>
  <c r="I211" i="2"/>
  <c r="I213" i="2"/>
  <c r="I215" i="2"/>
  <c r="I217" i="2"/>
  <c r="I219" i="2"/>
  <c r="I221" i="2"/>
  <c r="I223" i="2"/>
  <c r="I225" i="2"/>
  <c r="I227" i="2"/>
  <c r="I229" i="2"/>
  <c r="I231" i="2"/>
  <c r="I233" i="2"/>
  <c r="I235" i="2"/>
  <c r="I237" i="2"/>
  <c r="I239" i="2"/>
  <c r="I241" i="2"/>
  <c r="I243" i="2"/>
  <c r="I245" i="2"/>
  <c r="I247" i="2"/>
  <c r="I249" i="2"/>
  <c r="G203" i="2"/>
  <c r="G205" i="2"/>
  <c r="G207" i="2"/>
  <c r="G209" i="2"/>
  <c r="G211" i="2"/>
  <c r="G213" i="2"/>
  <c r="G215" i="2"/>
  <c r="G217" i="2"/>
  <c r="G219" i="2"/>
  <c r="G221" i="2"/>
  <c r="G223" i="2"/>
  <c r="G225" i="2"/>
  <c r="G227" i="2"/>
  <c r="G229" i="2"/>
  <c r="G231" i="2"/>
  <c r="G233" i="2"/>
  <c r="G235" i="2"/>
  <c r="G237" i="2"/>
  <c r="G239" i="2"/>
  <c r="G241" i="2"/>
  <c r="G243" i="2"/>
  <c r="G245" i="2"/>
  <c r="G247" i="2"/>
  <c r="G249" i="2"/>
  <c r="R191" i="2" l="1"/>
  <c r="F205" i="2"/>
  <c r="F207" i="2"/>
  <c r="F209" i="2"/>
  <c r="F211" i="2"/>
  <c r="F213" i="2"/>
  <c r="F215" i="2"/>
  <c r="F217" i="2"/>
  <c r="F219" i="2"/>
  <c r="F221" i="2"/>
  <c r="F223" i="2"/>
  <c r="F225" i="2"/>
  <c r="F227" i="2"/>
  <c r="F229" i="2"/>
  <c r="F231" i="2"/>
  <c r="F233" i="2"/>
  <c r="F235" i="2"/>
  <c r="F237" i="2"/>
  <c r="F239" i="2"/>
  <c r="F241" i="2"/>
  <c r="F243" i="2"/>
  <c r="F245" i="2"/>
  <c r="F247" i="2"/>
  <c r="F249" i="2"/>
  <c r="B250" i="2"/>
  <c r="Q249" i="2"/>
  <c r="N249" i="2"/>
  <c r="B249" i="2"/>
  <c r="B248" i="2"/>
  <c r="Q247" i="2"/>
  <c r="N247" i="2"/>
  <c r="B247" i="2"/>
  <c r="B246" i="2"/>
  <c r="Q245" i="2"/>
  <c r="N245" i="2"/>
  <c r="B245" i="2"/>
  <c r="B244" i="2"/>
  <c r="Q243" i="2"/>
  <c r="N243" i="2"/>
  <c r="B243" i="2"/>
  <c r="B242" i="2"/>
  <c r="Q241" i="2"/>
  <c r="N241" i="2"/>
  <c r="B241" i="2"/>
  <c r="B240" i="2"/>
  <c r="Q239" i="2"/>
  <c r="N239" i="2"/>
  <c r="B239" i="2"/>
  <c r="B238" i="2"/>
  <c r="Q237" i="2"/>
  <c r="N237" i="2"/>
  <c r="B237" i="2"/>
  <c r="B236" i="2"/>
  <c r="Q235" i="2"/>
  <c r="N235" i="2"/>
  <c r="B235" i="2"/>
  <c r="B234" i="2"/>
  <c r="Q233" i="2"/>
  <c r="N233" i="2"/>
  <c r="B233" i="2"/>
  <c r="B232" i="2"/>
  <c r="Q231" i="2"/>
  <c r="N231" i="2"/>
  <c r="B231" i="2"/>
  <c r="B230" i="2"/>
  <c r="Q229" i="2"/>
  <c r="N229" i="2"/>
  <c r="B229" i="2"/>
  <c r="B228" i="2"/>
  <c r="Q227" i="2"/>
  <c r="N227" i="2"/>
  <c r="B227" i="2"/>
  <c r="B226" i="2"/>
  <c r="Q225" i="2"/>
  <c r="N225" i="2"/>
  <c r="B225" i="2"/>
  <c r="B224" i="2"/>
  <c r="Q223" i="2"/>
  <c r="N223" i="2"/>
  <c r="B223" i="2"/>
  <c r="B222" i="2"/>
  <c r="Q221" i="2"/>
  <c r="N221" i="2"/>
  <c r="B221" i="2"/>
  <c r="B220" i="2"/>
  <c r="Q219" i="2"/>
  <c r="N219" i="2"/>
  <c r="B219" i="2"/>
  <c r="B218" i="2"/>
  <c r="Q217" i="2"/>
  <c r="N217" i="2"/>
  <c r="B217" i="2"/>
  <c r="B216" i="2"/>
  <c r="Q215" i="2"/>
  <c r="N215" i="2"/>
  <c r="B215" i="2"/>
  <c r="B214" i="2"/>
  <c r="Q213" i="2"/>
  <c r="N213" i="2"/>
  <c r="B213" i="2"/>
  <c r="B212" i="2"/>
  <c r="Q211" i="2"/>
  <c r="N211" i="2"/>
  <c r="B211" i="2"/>
  <c r="B210" i="2"/>
  <c r="Q209" i="2"/>
  <c r="N209" i="2"/>
  <c r="B209" i="2"/>
  <c r="B208" i="2"/>
  <c r="Q207" i="2"/>
  <c r="N207" i="2"/>
  <c r="B207" i="2"/>
  <c r="B206" i="2"/>
  <c r="Q205" i="2"/>
  <c r="N205" i="2"/>
  <c r="B205" i="2"/>
  <c r="H254" i="2"/>
  <c r="H255" i="2"/>
  <c r="H256" i="2"/>
  <c r="H257" i="2"/>
  <c r="H258" i="2"/>
  <c r="H259" i="2"/>
  <c r="H260" i="2"/>
  <c r="H261" i="2"/>
  <c r="H262" i="2"/>
  <c r="H263" i="2"/>
  <c r="H264" i="2"/>
  <c r="H253" i="2"/>
  <c r="I253" i="2"/>
  <c r="I255" i="2"/>
  <c r="I257" i="2"/>
  <c r="I259" i="2"/>
  <c r="I261" i="2"/>
  <c r="I263" i="2"/>
  <c r="G253" i="2"/>
  <c r="G255" i="2"/>
  <c r="G257" i="2"/>
  <c r="G259" i="2"/>
  <c r="G261" i="2"/>
  <c r="G263" i="2"/>
  <c r="L207" i="2" l="1"/>
  <c r="R207" i="2" s="1"/>
  <c r="L211" i="2"/>
  <c r="L215" i="2"/>
  <c r="R215" i="2" s="1"/>
  <c r="L219" i="2"/>
  <c r="L223" i="2"/>
  <c r="R223" i="2" s="1"/>
  <c r="L227" i="2"/>
  <c r="L231" i="2"/>
  <c r="R231" i="2" s="1"/>
  <c r="L235" i="2"/>
  <c r="R235" i="2" s="1"/>
  <c r="L239" i="2"/>
  <c r="R239" i="2" s="1"/>
  <c r="L243" i="2"/>
  <c r="L247" i="2"/>
  <c r="R247" i="2" s="1"/>
  <c r="L205" i="2"/>
  <c r="L209" i="2"/>
  <c r="L213" i="2"/>
  <c r="L217" i="2"/>
  <c r="L221" i="2"/>
  <c r="L225" i="2"/>
  <c r="L229" i="2"/>
  <c r="L233" i="2"/>
  <c r="L237" i="2"/>
  <c r="L241" i="2"/>
  <c r="L245" i="2"/>
  <c r="L249" i="2"/>
  <c r="R205" i="2"/>
  <c r="R209" i="2"/>
  <c r="R213" i="2"/>
  <c r="R217" i="2"/>
  <c r="R221" i="2"/>
  <c r="R225" i="2"/>
  <c r="R229" i="2"/>
  <c r="R233" i="2"/>
  <c r="R237" i="2"/>
  <c r="R241" i="2"/>
  <c r="R245" i="2"/>
  <c r="R249" i="2"/>
  <c r="R211" i="2"/>
  <c r="R219" i="2"/>
  <c r="R227" i="2"/>
  <c r="R243" i="2"/>
  <c r="F255" i="2"/>
  <c r="F257" i="2"/>
  <c r="F259" i="2"/>
  <c r="F261" i="2"/>
  <c r="F263" i="2"/>
  <c r="B264" i="2"/>
  <c r="Q263" i="2"/>
  <c r="N263" i="2"/>
  <c r="B263" i="2"/>
  <c r="B262" i="2"/>
  <c r="Q261" i="2"/>
  <c r="N261" i="2"/>
  <c r="B261" i="2"/>
  <c r="B260" i="2"/>
  <c r="Q259" i="2"/>
  <c r="N259" i="2"/>
  <c r="B259" i="2"/>
  <c r="B258" i="2"/>
  <c r="Q257" i="2"/>
  <c r="N257" i="2"/>
  <c r="B257" i="2"/>
  <c r="B256" i="2"/>
  <c r="Q255" i="2"/>
  <c r="N255" i="2"/>
  <c r="B255" i="2"/>
  <c r="L255" i="2" l="1"/>
  <c r="R255" i="2" s="1"/>
  <c r="L259" i="2"/>
  <c r="L263" i="2"/>
  <c r="R263" i="2" s="1"/>
  <c r="L257" i="2"/>
  <c r="R257" i="2" s="1"/>
  <c r="L261" i="2"/>
  <c r="R261" i="2" s="1"/>
  <c r="R259" i="2"/>
  <c r="F277" i="2"/>
  <c r="F279" i="2"/>
  <c r="F281" i="2"/>
  <c r="B277" i="2" l="1"/>
  <c r="B278" i="2"/>
  <c r="L277" i="2"/>
  <c r="N277" i="2"/>
  <c r="Q279" i="2"/>
  <c r="B281" i="2"/>
  <c r="B282" i="2"/>
  <c r="L281" i="2"/>
  <c r="N281" i="2"/>
  <c r="Q277" i="2"/>
  <c r="B280" i="2"/>
  <c r="B279" i="2"/>
  <c r="L279" i="2"/>
  <c r="N279" i="2"/>
  <c r="Q281" i="2"/>
  <c r="F287" i="2"/>
  <c r="R281" i="2" l="1"/>
  <c r="Q287" i="2"/>
  <c r="B288" i="2"/>
  <c r="B287" i="2"/>
  <c r="L287" i="2"/>
  <c r="N287" i="2"/>
  <c r="R279" i="2"/>
  <c r="R277" i="2"/>
  <c r="C16" i="2"/>
  <c r="C28" i="2"/>
  <c r="C34" i="2"/>
  <c r="C38" i="2"/>
  <c r="C52" i="2"/>
  <c r="C76" i="2"/>
  <c r="C84" i="2"/>
  <c r="C90" i="2"/>
  <c r="C94" i="2"/>
  <c r="C106" i="2"/>
  <c r="C128" i="2"/>
  <c r="C132" i="2"/>
  <c r="C138" i="2"/>
  <c r="C144" i="2"/>
  <c r="C150" i="2"/>
  <c r="C154" i="2"/>
  <c r="C158" i="2"/>
  <c r="C162" i="2"/>
  <c r="C166" i="2"/>
  <c r="C170" i="2"/>
  <c r="C180" i="2"/>
  <c r="C184" i="2"/>
  <c r="C188" i="2"/>
  <c r="C194" i="2"/>
  <c r="C198" i="2"/>
  <c r="C202" i="2"/>
  <c r="C252" i="2"/>
  <c r="C266" i="2"/>
  <c r="C270" i="2"/>
  <c r="C274" i="2"/>
  <c r="C284" i="2"/>
  <c r="R287" i="2" l="1"/>
  <c r="B12" i="2"/>
  <c r="Q285" i="2" l="1"/>
  <c r="N285" i="2"/>
  <c r="L285" i="2"/>
  <c r="B284" i="2"/>
  <c r="B289" i="2"/>
  <c r="B286" i="2"/>
  <c r="B285" i="2"/>
  <c r="Q271" i="2"/>
  <c r="N271" i="2"/>
  <c r="L271" i="2"/>
  <c r="B270" i="2"/>
  <c r="B273" i="2"/>
  <c r="B272" i="2"/>
  <c r="B271" i="2"/>
  <c r="Q253" i="2"/>
  <c r="N253" i="2"/>
  <c r="L253" i="2"/>
  <c r="B265" i="2"/>
  <c r="B254" i="2"/>
  <c r="B253" i="2"/>
  <c r="B252" i="2"/>
  <c r="N199" i="2"/>
  <c r="L199" i="2"/>
  <c r="B201" i="2"/>
  <c r="B200" i="2"/>
  <c r="B199" i="2"/>
  <c r="B198" i="2"/>
  <c r="Q199" i="2"/>
  <c r="R199" i="2" s="1"/>
  <c r="N189" i="2"/>
  <c r="L189" i="2"/>
  <c r="B193" i="2"/>
  <c r="B190" i="2"/>
  <c r="B189" i="2"/>
  <c r="B188" i="2"/>
  <c r="Q189" i="2"/>
  <c r="N181" i="2"/>
  <c r="L181" i="2"/>
  <c r="Q181" i="2"/>
  <c r="B183" i="2"/>
  <c r="B182" i="2"/>
  <c r="B181" i="2"/>
  <c r="B180" i="2"/>
  <c r="N167" i="2"/>
  <c r="L167" i="2"/>
  <c r="B169" i="2"/>
  <c r="B168" i="2"/>
  <c r="B167" i="2"/>
  <c r="B166" i="2"/>
  <c r="Q167" i="2"/>
  <c r="N159" i="2"/>
  <c r="L159" i="2"/>
  <c r="B161" i="2"/>
  <c r="B160" i="2"/>
  <c r="B159" i="2"/>
  <c r="B158" i="2"/>
  <c r="Q159" i="2"/>
  <c r="R159" i="2" s="1"/>
  <c r="N151" i="2"/>
  <c r="L151" i="2"/>
  <c r="Q151" i="2"/>
  <c r="B153" i="2"/>
  <c r="B152" i="2"/>
  <c r="B150" i="2"/>
  <c r="B151" i="2"/>
  <c r="Q139" i="2"/>
  <c r="N139" i="2"/>
  <c r="L139" i="2"/>
  <c r="B138" i="2"/>
  <c r="B143" i="2"/>
  <c r="B139" i="2"/>
  <c r="B140" i="2"/>
  <c r="Q129" i="2"/>
  <c r="N129" i="2"/>
  <c r="L129" i="2"/>
  <c r="B128" i="2"/>
  <c r="B131" i="2"/>
  <c r="B129" i="2"/>
  <c r="B130" i="2"/>
  <c r="Q275" i="2"/>
  <c r="N275" i="2"/>
  <c r="L275" i="2"/>
  <c r="B274" i="2"/>
  <c r="B283" i="2"/>
  <c r="B276" i="2"/>
  <c r="B275" i="2"/>
  <c r="Q267" i="2"/>
  <c r="N267" i="2"/>
  <c r="L267" i="2"/>
  <c r="B266" i="2"/>
  <c r="B269" i="2"/>
  <c r="B268" i="2"/>
  <c r="B267" i="2"/>
  <c r="N203" i="2"/>
  <c r="L203" i="2"/>
  <c r="B251" i="2"/>
  <c r="B204" i="2"/>
  <c r="B203" i="2"/>
  <c r="B202" i="2"/>
  <c r="Q203" i="2"/>
  <c r="N195" i="2"/>
  <c r="L195" i="2"/>
  <c r="B197" i="2"/>
  <c r="B196" i="2"/>
  <c r="B195" i="2"/>
  <c r="B194" i="2"/>
  <c r="Q195" i="2"/>
  <c r="N185" i="2"/>
  <c r="L185" i="2"/>
  <c r="B187" i="2"/>
  <c r="B186" i="2"/>
  <c r="B185" i="2"/>
  <c r="B184" i="2"/>
  <c r="Q185" i="2"/>
  <c r="R185" i="2" s="1"/>
  <c r="N171" i="2"/>
  <c r="L171" i="2"/>
  <c r="B179" i="2"/>
  <c r="B172" i="2"/>
  <c r="B171" i="2"/>
  <c r="B170" i="2"/>
  <c r="Q171" i="2"/>
  <c r="N163" i="2"/>
  <c r="L163" i="2"/>
  <c r="B165" i="2"/>
  <c r="B164" i="2"/>
  <c r="B163" i="2"/>
  <c r="B162" i="2"/>
  <c r="Q163" i="2"/>
  <c r="N155" i="2"/>
  <c r="L155" i="2"/>
  <c r="B157" i="2"/>
  <c r="B156" i="2"/>
  <c r="B155" i="2"/>
  <c r="B154" i="2"/>
  <c r="Q155" i="2"/>
  <c r="Q145" i="2"/>
  <c r="N145" i="2"/>
  <c r="L145" i="2"/>
  <c r="B144" i="2"/>
  <c r="B149" i="2"/>
  <c r="B145" i="2"/>
  <c r="B146" i="2"/>
  <c r="Q133" i="2"/>
  <c r="N133" i="2"/>
  <c r="L133" i="2"/>
  <c r="B132" i="2"/>
  <c r="B137" i="2"/>
  <c r="B133" i="2"/>
  <c r="B134" i="2"/>
  <c r="Q107" i="2"/>
  <c r="N107" i="2"/>
  <c r="L107" i="2"/>
  <c r="B106" i="2"/>
  <c r="B127" i="2"/>
  <c r="B107" i="2"/>
  <c r="B108" i="2"/>
  <c r="Q91" i="2"/>
  <c r="N91" i="2"/>
  <c r="L91" i="2"/>
  <c r="B90" i="2"/>
  <c r="B93" i="2"/>
  <c r="B91" i="2"/>
  <c r="B92" i="2"/>
  <c r="Q77" i="2"/>
  <c r="N77" i="2"/>
  <c r="L77" i="2"/>
  <c r="B76" i="2"/>
  <c r="B83" i="2"/>
  <c r="B77" i="2"/>
  <c r="B78" i="2"/>
  <c r="Q39" i="2"/>
  <c r="N39" i="2"/>
  <c r="L39" i="2"/>
  <c r="B40" i="2"/>
  <c r="B39" i="2"/>
  <c r="B51" i="2"/>
  <c r="B38" i="2"/>
  <c r="N29" i="2"/>
  <c r="L29" i="2"/>
  <c r="B33" i="2"/>
  <c r="B30" i="2"/>
  <c r="B29" i="2"/>
  <c r="B28" i="2"/>
  <c r="Q29" i="2"/>
  <c r="Q95" i="2"/>
  <c r="N95" i="2"/>
  <c r="L95" i="2"/>
  <c r="B94" i="2"/>
  <c r="B105" i="2"/>
  <c r="B95" i="2"/>
  <c r="B96" i="2"/>
  <c r="Q85" i="2"/>
  <c r="N85" i="2"/>
  <c r="L85" i="2"/>
  <c r="B84" i="2"/>
  <c r="B89" i="2"/>
  <c r="B85" i="2"/>
  <c r="B86" i="2"/>
  <c r="Q53" i="2"/>
  <c r="L53" i="2"/>
  <c r="B52" i="2"/>
  <c r="B54" i="2"/>
  <c r="B75" i="2"/>
  <c r="B53" i="2"/>
  <c r="N53" i="2"/>
  <c r="N35" i="2"/>
  <c r="L35" i="2"/>
  <c r="B34" i="2"/>
  <c r="B37" i="2"/>
  <c r="B36" i="2"/>
  <c r="B35" i="2"/>
  <c r="Q35" i="2"/>
  <c r="N17" i="2"/>
  <c r="L17" i="2"/>
  <c r="B16" i="2"/>
  <c r="B27" i="2"/>
  <c r="B18" i="2"/>
  <c r="B17" i="2"/>
  <c r="Q17" i="2"/>
  <c r="B13" i="2"/>
  <c r="R35" i="2" l="1"/>
  <c r="R29" i="2"/>
  <c r="R163" i="2"/>
  <c r="R203" i="2"/>
  <c r="R181" i="2"/>
  <c r="R17" i="2"/>
  <c r="R155" i="2"/>
  <c r="R171" i="2"/>
  <c r="R195" i="2"/>
  <c r="R167" i="2"/>
  <c r="R85" i="2"/>
  <c r="R77" i="2"/>
  <c r="R107" i="2"/>
  <c r="R145" i="2"/>
  <c r="R275" i="2"/>
  <c r="R139" i="2"/>
  <c r="R271" i="2"/>
  <c r="R53" i="2"/>
  <c r="R95" i="2"/>
  <c r="R39" i="2"/>
  <c r="R91" i="2"/>
  <c r="R133" i="2"/>
  <c r="R267" i="2"/>
  <c r="R129" i="2"/>
  <c r="R151" i="2"/>
  <c r="R189" i="2"/>
  <c r="R253" i="2"/>
  <c r="R285" i="2"/>
  <c r="L13" i="2"/>
  <c r="N13" i="2"/>
  <c r="Q13" i="2"/>
  <c r="R13" i="2" s="1"/>
  <c r="B14" i="2"/>
  <c r="B15" i="2"/>
</calcChain>
</file>

<file path=xl/sharedStrings.xml><?xml version="1.0" encoding="utf-8"?>
<sst xmlns="http://schemas.openxmlformats.org/spreadsheetml/2006/main" count="676" uniqueCount="189">
  <si>
    <t>Auto+Hide</t>
  </si>
  <si>
    <t>Description</t>
  </si>
  <si>
    <t>fit</t>
  </si>
  <si>
    <t>hide</t>
  </si>
  <si>
    <t>Unit Type</t>
  </si>
  <si>
    <t>CAF</t>
  </si>
  <si>
    <t>Quantity</t>
  </si>
  <si>
    <t>Hide</t>
  </si>
  <si>
    <t>Code</t>
  </si>
  <si>
    <t>Key</t>
  </si>
  <si>
    <t>********</t>
  </si>
  <si>
    <t>Item Number</t>
  </si>
  <si>
    <t>Gross Weight</t>
  </si>
  <si>
    <t>key</t>
  </si>
  <si>
    <t>Shared Maintenance Fee</t>
  </si>
  <si>
    <t>Handling</t>
  </si>
  <si>
    <t>Agency:</t>
  </si>
  <si>
    <t>Shopper</t>
  </si>
  <si>
    <t>Purchased cost</t>
  </si>
  <si>
    <t>hide+?</t>
  </si>
  <si>
    <t>Handling/lb</t>
  </si>
  <si>
    <t>VAP/lb</t>
  </si>
  <si>
    <t>Unit</t>
  </si>
  <si>
    <t>VPA</t>
  </si>
  <si>
    <t>Fit</t>
  </si>
  <si>
    <t xml:space="preserve">The Community Pantry Shopping List </t>
  </si>
  <si>
    <t>Auto+Hide+values</t>
  </si>
  <si>
    <t>Auto</t>
  </si>
  <si>
    <t/>
  </si>
  <si>
    <t>"Ceres4","TCP-LIVE","14012281","1","BABY"</t>
  </si>
  <si>
    <t>BABY</t>
  </si>
  <si>
    <t>BAKERY</t>
  </si>
  <si>
    <t>BEVERAGE</t>
  </si>
  <si>
    <t>BREAD</t>
  </si>
  <si>
    <t>CEREAL/BRK</t>
  </si>
  <si>
    <t>CONDIMENT</t>
  </si>
  <si>
    <t>DAIRY</t>
  </si>
  <si>
    <t>DESSERT</t>
  </si>
  <si>
    <t>DRESSING</t>
  </si>
  <si>
    <t>ENTREE</t>
  </si>
  <si>
    <t>FRUIT/ VEG</t>
  </si>
  <si>
    <t>GRAIN</t>
  </si>
  <si>
    <t>HOUSE PAP</t>
  </si>
  <si>
    <t>HOUSE/SAN</t>
  </si>
  <si>
    <t>JUICE</t>
  </si>
  <si>
    <t>MIXED/ASST</t>
  </si>
  <si>
    <t>NF</t>
  </si>
  <si>
    <t>NONDAIRY</t>
  </si>
  <si>
    <t>NUTRITION</t>
  </si>
  <si>
    <t>OTC</t>
  </si>
  <si>
    <t>PASTA</t>
  </si>
  <si>
    <t>PASTRY</t>
  </si>
  <si>
    <t>PER PAP</t>
  </si>
  <si>
    <t>PERSONAL</t>
  </si>
  <si>
    <t>PET</t>
  </si>
  <si>
    <t>PRODUCE</t>
  </si>
  <si>
    <t>PRO-MEAT</t>
  </si>
  <si>
    <t>PRO-NON</t>
  </si>
  <si>
    <t>RICE</t>
  </si>
  <si>
    <t>SALVAGE</t>
  </si>
  <si>
    <t>SNACK</t>
  </si>
  <si>
    <t>SOUP</t>
  </si>
  <si>
    <t>"Ceres4","TCP-LIVE","27","1","P729998"</t>
  </si>
  <si>
    <t>"Ceres4","TCP-LIVE","27","1","600112"</t>
  </si>
  <si>
    <t>Protein - Non-Meat Products</t>
  </si>
  <si>
    <t>Rice</t>
  </si>
  <si>
    <t>Sorted or Unsorted Salvage Products</t>
  </si>
  <si>
    <t>Snack Products</t>
  </si>
  <si>
    <t>600112</t>
  </si>
  <si>
    <t>601071</t>
  </si>
  <si>
    <t>601228</t>
  </si>
  <si>
    <t>601556</t>
  </si>
  <si>
    <t>Soup Products</t>
  </si>
  <si>
    <t>P729998</t>
  </si>
  <si>
    <t>P730000</t>
  </si>
  <si>
    <t xml:space="preserve">Snack - Gram cracker bits </t>
  </si>
  <si>
    <t>4 ct - 14 - 1 oz</t>
  </si>
  <si>
    <t>Snack - Rice Krispies Treats</t>
  </si>
  <si>
    <t>72 count</t>
  </si>
  <si>
    <t>8-8/1 oz</t>
  </si>
  <si>
    <t>Snack-Sweet and Salty Granola Bars Peanut</t>
  </si>
  <si>
    <t>48-1 oz</t>
  </si>
  <si>
    <t>Soup-Chicken Noodle</t>
  </si>
  <si>
    <t>24-8 oz</t>
  </si>
  <si>
    <t>Soup - Tomato Soup</t>
  </si>
  <si>
    <t>24-11 oz</t>
  </si>
  <si>
    <t>CS</t>
  </si>
  <si>
    <t>0</t>
  </si>
  <si>
    <t>"Ceres4","TCP-LIVE","27","1","P250049"</t>
  </si>
  <si>
    <t>Grain-based Products</t>
  </si>
  <si>
    <t>Household Paper &amp; Plastic Items</t>
  </si>
  <si>
    <t>P950036</t>
  </si>
  <si>
    <t>P950037</t>
  </si>
  <si>
    <t>Household and Sanitation Products</t>
  </si>
  <si>
    <t>940051</t>
  </si>
  <si>
    <t>P997003</t>
  </si>
  <si>
    <t>Juices</t>
  </si>
  <si>
    <t>P030011</t>
  </si>
  <si>
    <t>P039994</t>
  </si>
  <si>
    <t>Mixed and Assorted Food Products</t>
  </si>
  <si>
    <t>Non-Food Items and Products</t>
  </si>
  <si>
    <t>Non-Dairy Food Item</t>
  </si>
  <si>
    <t>Nutritional Aid Products</t>
  </si>
  <si>
    <t>OTC Pharmaceuticals</t>
  </si>
  <si>
    <t>Pasta Products</t>
  </si>
  <si>
    <t>P650000</t>
  </si>
  <si>
    <t>P650004</t>
  </si>
  <si>
    <t>P650031</t>
  </si>
  <si>
    <t>P669999</t>
  </si>
  <si>
    <t>Pastry Products</t>
  </si>
  <si>
    <t>Personal Paper Products</t>
  </si>
  <si>
    <t>Personal Care Products</t>
  </si>
  <si>
    <t>P970001</t>
  </si>
  <si>
    <t>P997001</t>
  </si>
  <si>
    <t>Pet Foods</t>
  </si>
  <si>
    <t>Produce - Fresh</t>
  </si>
  <si>
    <t>Protein - Meat Products</t>
  </si>
  <si>
    <t>BAG</t>
  </si>
  <si>
    <t>EA</t>
  </si>
  <si>
    <t>Household - Cutlery Forks</t>
  </si>
  <si>
    <t>24- 24 ct</t>
  </si>
  <si>
    <t>Household - Combo Cutlery</t>
  </si>
  <si>
    <t>24-24 ct</t>
  </si>
  <si>
    <t>Household - Clorex Bleach</t>
  </si>
  <si>
    <t>8-55 oz</t>
  </si>
  <si>
    <t>Personal Care - X Large Diapers</t>
  </si>
  <si>
    <t>4-44 ct</t>
  </si>
  <si>
    <t>Juice - Orange Juice</t>
  </si>
  <si>
    <t>1-32 oz</t>
  </si>
  <si>
    <t>Juice - Apple</t>
  </si>
  <si>
    <t>1-46 oz</t>
  </si>
  <si>
    <t>Pasta-Pasta Macaroni &amp; Cheese Mix</t>
  </si>
  <si>
    <t>24-7 oz</t>
  </si>
  <si>
    <t>Pasta-Pasta Thin Spaghetti</t>
  </si>
  <si>
    <t>20-1 lb</t>
  </si>
  <si>
    <t>Pasta - Brown Rice</t>
  </si>
  <si>
    <t>30-1 lb</t>
  </si>
  <si>
    <t>Pasta - Penne Rigate</t>
  </si>
  <si>
    <t>20-16 oz</t>
  </si>
  <si>
    <t>Personal-Health Surely Smooth Shampoo</t>
  </si>
  <si>
    <t>12/13 oz</t>
  </si>
  <si>
    <t>Personal-Health Medium Diapers</t>
  </si>
  <si>
    <t>4-50ct</t>
  </si>
  <si>
    <t>"Ceres4","TCP-LIVE","27","1","P400003"</t>
  </si>
  <si>
    <t>"Ceres4","TCP-LIVE","27","1","P970001"</t>
  </si>
  <si>
    <t>"Ceres4","TCP-LIVE","27","1","P650000"</t>
  </si>
  <si>
    <t>"Ceres4","TCP-LIVE","27","1","P030011"</t>
  </si>
  <si>
    <t>"Ceres4","TCP-LIVE","27","1","940051"</t>
  </si>
  <si>
    <t>"Ceres4","TCP-LIVE","27","1","P950036"</t>
  </si>
  <si>
    <t>Fruit and Vegetable Products</t>
  </si>
  <si>
    <t>"Ceres4","TCP-LIVE","27","1","P300000"</t>
  </si>
  <si>
    <t>Dairy Products</t>
  </si>
  <si>
    <t>P169997</t>
  </si>
  <si>
    <t>P169998</t>
  </si>
  <si>
    <t>P169999</t>
  </si>
  <si>
    <t>Dessert Products</t>
  </si>
  <si>
    <t>P580002</t>
  </si>
  <si>
    <t>P580005</t>
  </si>
  <si>
    <t>Dressing Products</t>
  </si>
  <si>
    <t>Entrees and Main Dish Items</t>
  </si>
  <si>
    <t>Dairy - Monterey Jack and Cheddar Cheese</t>
  </si>
  <si>
    <t>1-5 lb bag</t>
  </si>
  <si>
    <t>Dairy - Sliced Cheese</t>
  </si>
  <si>
    <t>1-5 lb</t>
  </si>
  <si>
    <t>Dairy - Shredded Cheddar Cheese</t>
  </si>
  <si>
    <t>1 - 5 lb bag</t>
  </si>
  <si>
    <t>Dessert- Cherry Pie Filling</t>
  </si>
  <si>
    <t>12-21 oz</t>
  </si>
  <si>
    <t>Dessert - Key Lime Cream Pie Filling</t>
  </si>
  <si>
    <t>"Ceres4","TCP-LIVE","27","1","250043"</t>
  </si>
  <si>
    <t>"Ceres4","TCP-LIVE","27","1","P580002"</t>
  </si>
  <si>
    <t>"Ceres4","TCP-LIVE","27","1","P169997"</t>
  </si>
  <si>
    <t>Condiment Products</t>
  </si>
  <si>
    <t>"Ceres4","TCP-LIVE","27","1","130044"</t>
  </si>
  <si>
    <t>Beverages</t>
  </si>
  <si>
    <t>020046</t>
  </si>
  <si>
    <t>P030007</t>
  </si>
  <si>
    <t>Bread Products</t>
  </si>
  <si>
    <t>Cereal and Breakfast Products</t>
  </si>
  <si>
    <t>Beverage - Propel Fitness</t>
  </si>
  <si>
    <t>24-17 oz</t>
  </si>
  <si>
    <t xml:space="preserve">Beverage- Cranberry Grape </t>
  </si>
  <si>
    <t>48-4 oz</t>
  </si>
  <si>
    <t>"Ceres4","TCP-LIVE","27","1","070280"</t>
  </si>
  <si>
    <t>"Ceres4","TCP-LIVE","27","1","020046"</t>
  </si>
  <si>
    <t>Baby Foods</t>
  </si>
  <si>
    <t>Bakery Products (needs Baking or used in Baking)</t>
  </si>
  <si>
    <t>"Ceres4","TCP-LIVE","27","1","P500000"</t>
  </si>
  <si>
    <t>Date:__6/21/18______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</si>
</sst>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9"/>
  <sheetViews>
    <sheetView tabSelected="1" topLeftCell="E3" workbookViewId="0">
      <selection activeCell="U9" sqref="U9"/>
    </sheetView>
  </sheetViews>
  <sheetFormatPr defaultRowHeight="15" x14ac:dyDescent="0.25"/>
  <cols>
    <col min="1" max="4" width="9.140625" hidden="1" customWidth="1"/>
    <col min="5" max="5" width="10.7109375" bestFit="1" customWidth="1"/>
    <col min="6" max="6" width="9.140625" hidden="1" customWidth="1"/>
    <col min="7" max="7" width="10.7109375" customWidth="1"/>
    <col min="8" max="8" width="43.140625" bestFit="1" customWidth="1"/>
    <col min="9" max="9" width="5.28515625" bestFit="1" customWidth="1"/>
    <col min="10" max="10" width="12.7109375" bestFit="1" customWidth="1"/>
    <col min="11" max="17" width="8.42578125" hidden="1" customWidth="1"/>
    <col min="18" max="18" width="15.42578125" customWidth="1"/>
    <col min="21" max="21" width="14" bestFit="1" customWidth="1"/>
  </cols>
  <sheetData>
    <row r="1" spans="1:21" hidden="1" x14ac:dyDescent="0.25">
      <c r="A1" t="s">
        <v>26</v>
      </c>
      <c r="B1" t="s">
        <v>19</v>
      </c>
      <c r="C1" t="s">
        <v>3</v>
      </c>
      <c r="D1" t="s">
        <v>7</v>
      </c>
      <c r="E1" t="s">
        <v>2</v>
      </c>
      <c r="F1" t="s">
        <v>7</v>
      </c>
      <c r="H1" t="s">
        <v>2</v>
      </c>
      <c r="I1" t="s">
        <v>24</v>
      </c>
      <c r="J1" t="s">
        <v>24</v>
      </c>
      <c r="K1" t="s">
        <v>3</v>
      </c>
      <c r="L1" t="s">
        <v>7</v>
      </c>
      <c r="M1" t="s">
        <v>3</v>
      </c>
      <c r="N1" t="s">
        <v>7</v>
      </c>
      <c r="O1" t="s">
        <v>3</v>
      </c>
      <c r="P1" t="s">
        <v>7</v>
      </c>
      <c r="Q1" t="s">
        <v>7</v>
      </c>
      <c r="U1" s="7"/>
    </row>
    <row r="2" spans="1:21" hidden="1" x14ac:dyDescent="0.25">
      <c r="A2" t="s">
        <v>7</v>
      </c>
      <c r="C2" t="s">
        <v>13</v>
      </c>
      <c r="D2" t="s">
        <v>8</v>
      </c>
      <c r="F2" t="s">
        <v>9</v>
      </c>
      <c r="K2" t="s">
        <v>20</v>
      </c>
      <c r="L2" t="s">
        <v>15</v>
      </c>
      <c r="M2" t="s">
        <v>21</v>
      </c>
      <c r="N2" t="s">
        <v>23</v>
      </c>
      <c r="O2" t="s">
        <v>5</v>
      </c>
      <c r="P2" t="s">
        <v>22</v>
      </c>
      <c r="Q2" t="s">
        <v>18</v>
      </c>
    </row>
    <row r="3" spans="1:21" ht="23.25" x14ac:dyDescent="0.35">
      <c r="C3" s="17" t="s">
        <v>25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21" ht="23.25" x14ac:dyDescent="0.35">
      <c r="C4" s="16" t="s">
        <v>188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ht="15.75" thickBot="1" x14ac:dyDescent="0.3"/>
    <row r="6" spans="1:21" ht="24" customHeight="1" thickBot="1" x14ac:dyDescent="0.3">
      <c r="E6" s="11" t="s">
        <v>16</v>
      </c>
      <c r="F6" s="3"/>
      <c r="G6" s="14"/>
      <c r="H6" s="15"/>
      <c r="J6" s="3"/>
      <c r="R6" s="12"/>
    </row>
    <row r="7" spans="1:21" ht="15.75" thickBot="1" x14ac:dyDescent="0.3">
      <c r="E7" s="10"/>
      <c r="F7" s="3"/>
      <c r="J7" s="3"/>
    </row>
    <row r="8" spans="1:21" ht="23.25" customHeight="1" thickBot="1" x14ac:dyDescent="0.3">
      <c r="E8" s="11" t="s">
        <v>17</v>
      </c>
      <c r="F8" s="3"/>
      <c r="G8" s="14"/>
      <c r="H8" s="15"/>
      <c r="J8" s="3"/>
      <c r="R8" s="12"/>
    </row>
    <row r="9" spans="1:21" ht="23.25" customHeight="1" x14ac:dyDescent="0.25">
      <c r="E9" s="11"/>
      <c r="F9" s="3"/>
      <c r="G9" s="13"/>
      <c r="H9" s="13"/>
      <c r="J9" s="3"/>
      <c r="R9" s="12"/>
    </row>
    <row r="11" spans="1:21" ht="46.5" customHeight="1" x14ac:dyDescent="0.25">
      <c r="E11" t="s">
        <v>6</v>
      </c>
      <c r="G11" s="4" t="s">
        <v>11</v>
      </c>
      <c r="H11" t="s">
        <v>1</v>
      </c>
      <c r="I11" s="4" t="s">
        <v>4</v>
      </c>
      <c r="J11" s="4" t="s">
        <v>12</v>
      </c>
      <c r="K11" s="4"/>
      <c r="L11" s="4"/>
      <c r="M11" s="4"/>
      <c r="N11" s="4"/>
      <c r="O11" s="4"/>
      <c r="P11" s="4"/>
      <c r="Q11" s="4"/>
      <c r="R11" s="4" t="s">
        <v>14</v>
      </c>
    </row>
    <row r="12" spans="1:21" ht="17.25" hidden="1" x14ac:dyDescent="0.3">
      <c r="B12" t="str">
        <f>IF($G13="","Hide","Show")</f>
        <v>Hide</v>
      </c>
      <c r="C12" t="s">
        <v>29</v>
      </c>
      <c r="D12" t="s">
        <v>30</v>
      </c>
      <c r="E12" s="9" t="s">
        <v>10</v>
      </c>
      <c r="F12" s="2"/>
      <c r="G12" s="8" t="s">
        <v>185</v>
      </c>
    </row>
    <row r="13" spans="1:21" hidden="1" x14ac:dyDescent="0.25">
      <c r="B13" t="str">
        <f>IF($G13="","Hide","Show")</f>
        <v>Hide</v>
      </c>
      <c r="E13" s="1"/>
      <c r="F13" t="s">
        <v>28</v>
      </c>
      <c r="G13" t="s">
        <v>28</v>
      </c>
      <c r="H13" t="s">
        <v>28</v>
      </c>
      <c r="I13" s="5" t="s">
        <v>28</v>
      </c>
      <c r="J13" s="5" t="s">
        <v>28</v>
      </c>
      <c r="K13" s="5" t="s">
        <v>87</v>
      </c>
      <c r="L13">
        <f>IFERROR(IF(K13*J13=0,"0",K13*J13),0)</f>
        <v>0</v>
      </c>
      <c r="M13" s="5" t="s">
        <v>28</v>
      </c>
      <c r="N13" t="e">
        <f>IF(M13*J13=0,"0",M13*J13)</f>
        <v>#VALUE!</v>
      </c>
      <c r="O13" s="5" t="s">
        <v>28</v>
      </c>
      <c r="P13" s="5" t="s">
        <v>28</v>
      </c>
      <c r="Q13" s="5" t="e">
        <f>P13*O13</f>
        <v>#VALUE!</v>
      </c>
      <c r="R13" s="6" t="str">
        <f>IFERROR(Q13+N13+L13,"")</f>
        <v/>
      </c>
    </row>
    <row r="14" spans="1:21" hidden="1" x14ac:dyDescent="0.25">
      <c r="B14" t="str">
        <f>IF($G13="","Hide","Show")</f>
        <v>Hide</v>
      </c>
      <c r="H14" t="s">
        <v>28</v>
      </c>
    </row>
    <row r="15" spans="1:21" hidden="1" x14ac:dyDescent="0.25">
      <c r="B15" t="str">
        <f>IF($G13="","Hide","Show")</f>
        <v>Hide</v>
      </c>
    </row>
    <row r="16" spans="1:21" ht="17.25" x14ac:dyDescent="0.3">
      <c r="A16" t="s">
        <v>27</v>
      </c>
      <c r="B16" t="str">
        <f t="shared" ref="B16" si="0">IF($G17="","Hide","Show")</f>
        <v>Show</v>
      </c>
      <c r="C16" t="str">
        <f>"""Ceres4"",""TCP-LIVE"",""14012281"",""1"",""BAKERY"""</f>
        <v>"Ceres4","TCP-LIVE","14012281","1","BAKERY"</v>
      </c>
      <c r="D16" t="s">
        <v>31</v>
      </c>
      <c r="E16" s="9" t="s">
        <v>10</v>
      </c>
      <c r="F16" s="2"/>
      <c r="G16" s="8" t="s">
        <v>186</v>
      </c>
    </row>
    <row r="17" spans="1:18" x14ac:dyDescent="0.25">
      <c r="A17" t="s">
        <v>27</v>
      </c>
      <c r="B17" t="str">
        <f t="shared" ref="B17:B25" si="1">IF($G17="","Hide","Show")</f>
        <v>Show</v>
      </c>
      <c r="E17" s="1"/>
      <c r="F17" t="s">
        <v>187</v>
      </c>
      <c r="G17" t="str">
        <f>"P500000"</f>
        <v>P500000</v>
      </c>
      <c r="H17" t="str">
        <f>"Bakery - Bread Loaf"</f>
        <v>Bakery - Bread Loaf</v>
      </c>
      <c r="I17" s="5" t="str">
        <f>"EA"</f>
        <v>EA</v>
      </c>
      <c r="J17" s="5">
        <v>2</v>
      </c>
      <c r="K17" s="5">
        <v>0</v>
      </c>
      <c r="L17" t="str">
        <f t="shared" ref="L17" si="2">IFERROR(IF(K17*J17=0,"0",K17*J17),0)</f>
        <v>0</v>
      </c>
      <c r="M17" s="5">
        <v>0</v>
      </c>
      <c r="N17" t="str">
        <f t="shared" ref="N17" si="3">IF(M17*J17=0,"0",M17*J17)</f>
        <v>0</v>
      </c>
      <c r="O17" s="5">
        <v>1.1000000000000001</v>
      </c>
      <c r="P17" s="5">
        <v>1</v>
      </c>
      <c r="Q17" s="5">
        <f t="shared" ref="Q17" si="4">P17*O17</f>
        <v>1.1000000000000001</v>
      </c>
      <c r="R17" s="6">
        <f t="shared" ref="R17" si="5">IFERROR(Q17+N17+L17,"")</f>
        <v>1.1000000000000001</v>
      </c>
    </row>
    <row r="18" spans="1:18" x14ac:dyDescent="0.25">
      <c r="A18" t="s">
        <v>27</v>
      </c>
      <c r="B18" t="str">
        <f t="shared" ref="B18" si="6">IF($G17="","Hide","Show")</f>
        <v>Show</v>
      </c>
      <c r="H18" t="str">
        <f>"1 Loaf"</f>
        <v>1 Loaf</v>
      </c>
    </row>
    <row r="19" spans="1:18" x14ac:dyDescent="0.25">
      <c r="A19" t="s">
        <v>27</v>
      </c>
      <c r="B19" t="str">
        <f t="shared" si="1"/>
        <v>Show</v>
      </c>
      <c r="E19" s="1"/>
      <c r="F19" t="str">
        <f>"""Ceres4"",""TCP-LIVE"",""27"",""1"",""P520021"""</f>
        <v>"Ceres4","TCP-LIVE","27","1","P520021"</v>
      </c>
      <c r="G19" t="str">
        <f>"P520021"</f>
        <v>P520021</v>
      </c>
      <c r="H19" t="str">
        <f>"Baking - Fudge Brownie Mix"</f>
        <v>Baking - Fudge Brownie Mix</v>
      </c>
      <c r="I19" s="5" t="str">
        <f>"CS"</f>
        <v>CS</v>
      </c>
      <c r="J19" s="5">
        <v>9</v>
      </c>
      <c r="K19" s="5">
        <v>0</v>
      </c>
      <c r="L19" t="str">
        <f t="shared" ref="L19" si="7">IFERROR(IF(K19*J19=0,"0",K19*J19),0)</f>
        <v>0</v>
      </c>
      <c r="M19" s="5">
        <v>0</v>
      </c>
      <c r="N19" t="str">
        <f t="shared" ref="N19" si="8">IF(M19*J19=0,"0",M19*J19)</f>
        <v>0</v>
      </c>
      <c r="O19" s="5">
        <v>1.2</v>
      </c>
      <c r="P19" s="5">
        <v>11.33</v>
      </c>
      <c r="Q19" s="5">
        <f t="shared" ref="Q19" si="9">P19*O19</f>
        <v>13.596</v>
      </c>
      <c r="R19" s="6">
        <f t="shared" ref="R19" si="10">IFERROR(Q19+N19+L19,"")</f>
        <v>13.596</v>
      </c>
    </row>
    <row r="20" spans="1:18" x14ac:dyDescent="0.25">
      <c r="A20" t="s">
        <v>27</v>
      </c>
      <c r="B20" t="str">
        <f t="shared" ref="B20" si="11">IF($G19="","Hide","Show")</f>
        <v>Show</v>
      </c>
      <c r="H20" t="str">
        <f>"12-10 oz"</f>
        <v>12-10 oz</v>
      </c>
    </row>
    <row r="21" spans="1:18" x14ac:dyDescent="0.25">
      <c r="A21" t="s">
        <v>27</v>
      </c>
      <c r="B21" t="str">
        <f t="shared" si="1"/>
        <v>Show</v>
      </c>
      <c r="E21" s="1"/>
      <c r="F21" t="str">
        <f>"""Ceres4"",""TCP-LIVE"",""27"",""1"",""P520023"""</f>
        <v>"Ceres4","TCP-LIVE","27","1","P520023"</v>
      </c>
      <c r="G21" t="str">
        <f>"P520023"</f>
        <v>P520023</v>
      </c>
      <c r="H21" t="str">
        <f>"Bakery-Blueberry Muffin Mix"</f>
        <v>Bakery-Blueberry Muffin Mix</v>
      </c>
      <c r="I21" s="5" t="str">
        <f>"CS"</f>
        <v>CS</v>
      </c>
      <c r="J21" s="5">
        <v>13</v>
      </c>
      <c r="K21" s="5">
        <v>0</v>
      </c>
      <c r="L21" t="str">
        <f t="shared" ref="L21" si="12">IFERROR(IF(K21*J21=0,"0",K21*J21),0)</f>
        <v>0</v>
      </c>
      <c r="M21" s="5">
        <v>0</v>
      </c>
      <c r="N21" t="str">
        <f t="shared" ref="N21" si="13">IF(M21*J21=0,"0",M21*J21)</f>
        <v>0</v>
      </c>
      <c r="O21" s="5">
        <v>1.2</v>
      </c>
      <c r="P21" s="5">
        <v>10.25</v>
      </c>
      <c r="Q21" s="5">
        <f t="shared" ref="Q21" si="14">P21*O21</f>
        <v>12.299999999999999</v>
      </c>
      <c r="R21" s="6">
        <f t="shared" ref="R21" si="15">IFERROR(Q21+N21+L21,"")</f>
        <v>12.299999999999999</v>
      </c>
    </row>
    <row r="22" spans="1:18" x14ac:dyDescent="0.25">
      <c r="A22" t="s">
        <v>27</v>
      </c>
      <c r="B22" t="str">
        <f t="shared" ref="B22" si="16">IF($G21="","Hide","Show")</f>
        <v>Show</v>
      </c>
      <c r="H22" t="str">
        <f>"12-10 oz"</f>
        <v>12-10 oz</v>
      </c>
    </row>
    <row r="23" spans="1:18" x14ac:dyDescent="0.25">
      <c r="A23" t="s">
        <v>27</v>
      </c>
      <c r="B23" t="str">
        <f t="shared" si="1"/>
        <v>Show</v>
      </c>
      <c r="E23" s="1"/>
      <c r="F23" t="str">
        <f>"""Ceres4"",""TCP-LIVE"",""27"",""1"",""P520024"""</f>
        <v>"Ceres4","TCP-LIVE","27","1","P520024"</v>
      </c>
      <c r="G23" t="str">
        <f>"P520024"</f>
        <v>P520024</v>
      </c>
      <c r="H23" t="str">
        <f>"Baking- Biscuit Mix"</f>
        <v>Baking- Biscuit Mix</v>
      </c>
      <c r="I23" s="5" t="str">
        <f>"CS"</f>
        <v>CS</v>
      </c>
      <c r="J23" s="5">
        <v>12</v>
      </c>
      <c r="K23" s="5">
        <v>0</v>
      </c>
      <c r="L23" t="str">
        <f t="shared" ref="L23" si="17">IFERROR(IF(K23*J23=0,"0",K23*J23),0)</f>
        <v>0</v>
      </c>
      <c r="M23" s="5">
        <v>0</v>
      </c>
      <c r="N23" t="str">
        <f t="shared" ref="N23" si="18">IF(M23*J23=0,"0",M23*J23)</f>
        <v>0</v>
      </c>
      <c r="O23" s="5">
        <v>1.2</v>
      </c>
      <c r="P23" s="5">
        <v>10.73</v>
      </c>
      <c r="Q23" s="5">
        <f t="shared" ref="Q23" si="19">P23*O23</f>
        <v>12.875999999999999</v>
      </c>
      <c r="R23" s="6">
        <f t="shared" ref="R23" si="20">IFERROR(Q23+N23+L23,"")</f>
        <v>12.875999999999999</v>
      </c>
    </row>
    <row r="24" spans="1:18" x14ac:dyDescent="0.25">
      <c r="A24" t="s">
        <v>27</v>
      </c>
      <c r="B24" t="str">
        <f t="shared" ref="B24" si="21">IF($G23="","Hide","Show")</f>
        <v>Show</v>
      </c>
      <c r="H24" t="str">
        <f>"12-16 oz"</f>
        <v>12-16 oz</v>
      </c>
    </row>
    <row r="25" spans="1:18" x14ac:dyDescent="0.25">
      <c r="A25" t="s">
        <v>27</v>
      </c>
      <c r="B25" t="str">
        <f t="shared" si="1"/>
        <v>Show</v>
      </c>
      <c r="E25" s="1"/>
      <c r="F25" t="str">
        <f>"""Ceres4"",""TCP-LIVE"",""27"",""1"",""P520027"""</f>
        <v>"Ceres4","TCP-LIVE","27","1","P520027"</v>
      </c>
      <c r="G25" t="str">
        <f>"P520027"</f>
        <v>P520027</v>
      </c>
      <c r="H25" t="str">
        <f>"Bakery - Muffins assorted"</f>
        <v>Bakery - Muffins assorted</v>
      </c>
      <c r="I25" s="5" t="str">
        <f>"CS"</f>
        <v>CS</v>
      </c>
      <c r="J25" s="5">
        <v>6</v>
      </c>
      <c r="K25" s="5">
        <v>0</v>
      </c>
      <c r="L25" t="str">
        <f t="shared" ref="L25" si="22">IFERROR(IF(K25*J25=0,"0",K25*J25),0)</f>
        <v>0</v>
      </c>
      <c r="M25" s="5">
        <v>0</v>
      </c>
      <c r="N25" t="str">
        <f t="shared" ref="N25" si="23">IF(M25*J25=0,"0",M25*J25)</f>
        <v>0</v>
      </c>
      <c r="O25" s="5">
        <v>1.05</v>
      </c>
      <c r="P25" s="5">
        <v>23.21</v>
      </c>
      <c r="Q25" s="5">
        <f t="shared" ref="Q25" si="24">P25*O25</f>
        <v>24.370500000000003</v>
      </c>
      <c r="R25" s="6">
        <f t="shared" ref="R25" si="25">IFERROR(Q25+N25+L25,"")</f>
        <v>24.370500000000003</v>
      </c>
    </row>
    <row r="26" spans="1:18" x14ac:dyDescent="0.25">
      <c r="A26" t="s">
        <v>27</v>
      </c>
      <c r="B26" t="str">
        <f t="shared" ref="B26" si="26">IF($G25="","Hide","Show")</f>
        <v>Show</v>
      </c>
      <c r="H26" t="str">
        <f>"24-4 oz"</f>
        <v>24-4 oz</v>
      </c>
    </row>
    <row r="27" spans="1:18" x14ac:dyDescent="0.25">
      <c r="A27" t="s">
        <v>27</v>
      </c>
      <c r="B27" t="str">
        <f t="shared" ref="B27" si="27">IF($G17="","Hide","Show")</f>
        <v>Show</v>
      </c>
    </row>
    <row r="28" spans="1:18" ht="17.25" x14ac:dyDescent="0.3">
      <c r="A28" t="s">
        <v>27</v>
      </c>
      <c r="B28" t="str">
        <f t="shared" ref="B28" si="28">IF($G29="","Hide","Show")</f>
        <v>Show</v>
      </c>
      <c r="C28" t="str">
        <f>"""Ceres4"",""TCP-LIVE"",""14012281"",""1"",""BEVERAGE"""</f>
        <v>"Ceres4","TCP-LIVE","14012281","1","BEVERAGE"</v>
      </c>
      <c r="D28" t="s">
        <v>32</v>
      </c>
      <c r="E28" s="9" t="s">
        <v>10</v>
      </c>
      <c r="F28" s="2"/>
      <c r="G28" s="8" t="s">
        <v>174</v>
      </c>
    </row>
    <row r="29" spans="1:18" x14ac:dyDescent="0.25">
      <c r="A29" t="s">
        <v>27</v>
      </c>
      <c r="B29" t="str">
        <f t="shared" ref="B29:B31" si="29">IF($G29="","Hide","Show")</f>
        <v>Show</v>
      </c>
      <c r="E29" s="1"/>
      <c r="F29" t="s">
        <v>184</v>
      </c>
      <c r="G29" t="s">
        <v>175</v>
      </c>
      <c r="H29" t="s">
        <v>179</v>
      </c>
      <c r="I29" s="5" t="s">
        <v>86</v>
      </c>
      <c r="J29" s="5">
        <v>31</v>
      </c>
      <c r="K29" s="5">
        <v>0.19</v>
      </c>
      <c r="L29">
        <f t="shared" ref="L29" si="30">IFERROR(IF(K29*J29=0,"0",K29*J29),0)</f>
        <v>5.89</v>
      </c>
      <c r="M29" s="5">
        <v>0</v>
      </c>
      <c r="N29" t="str">
        <f t="shared" ref="N29" si="31">IF(M29*J29=0,"0",M29*J29)</f>
        <v>0</v>
      </c>
      <c r="O29" s="5">
        <v>1</v>
      </c>
      <c r="P29" s="5">
        <v>0</v>
      </c>
      <c r="Q29" s="5">
        <f t="shared" ref="Q29" si="32">P29*O29</f>
        <v>0</v>
      </c>
      <c r="R29" s="6">
        <f t="shared" ref="R29" si="33">IFERROR(Q29+N29+L29,"")</f>
        <v>5.89</v>
      </c>
    </row>
    <row r="30" spans="1:18" x14ac:dyDescent="0.25">
      <c r="A30" t="s">
        <v>27</v>
      </c>
      <c r="B30" t="str">
        <f t="shared" ref="B30" si="34">IF($G29="","Hide","Show")</f>
        <v>Show</v>
      </c>
      <c r="H30" t="s">
        <v>180</v>
      </c>
    </row>
    <row r="31" spans="1:18" x14ac:dyDescent="0.25">
      <c r="A31" t="s">
        <v>27</v>
      </c>
      <c r="B31" t="str">
        <f t="shared" si="29"/>
        <v>Show</v>
      </c>
      <c r="E31" s="1"/>
      <c r="F31" t="str">
        <f>"""Ceres4"",""TCP-LIVE"",""27"",""1"",""P030007"""</f>
        <v>"Ceres4","TCP-LIVE","27","1","P030007"</v>
      </c>
      <c r="G31" t="s">
        <v>176</v>
      </c>
      <c r="H31" t="s">
        <v>181</v>
      </c>
      <c r="I31" s="5" t="s">
        <v>86</v>
      </c>
      <c r="J31" s="5">
        <v>12</v>
      </c>
      <c r="K31" s="5">
        <v>0</v>
      </c>
      <c r="L31" t="str">
        <f t="shared" ref="L31" si="35">IFERROR(IF(K31*J31=0,"0",K31*J31),0)</f>
        <v>0</v>
      </c>
      <c r="M31" s="5">
        <v>0</v>
      </c>
      <c r="N31" t="str">
        <f t="shared" ref="N31" si="36">IF(M31*J31=0,"0",M31*J31)</f>
        <v>0</v>
      </c>
      <c r="O31" s="5">
        <v>1.1399999999999999</v>
      </c>
      <c r="P31" s="5">
        <v>16.07</v>
      </c>
      <c r="Q31" s="5">
        <f t="shared" ref="Q31" si="37">P31*O31</f>
        <v>18.319799999999997</v>
      </c>
      <c r="R31" s="6">
        <f t="shared" ref="R31" si="38">IFERROR(Q31+N31+L31,"")</f>
        <v>18.319799999999997</v>
      </c>
    </row>
    <row r="32" spans="1:18" x14ac:dyDescent="0.25">
      <c r="A32" t="s">
        <v>27</v>
      </c>
      <c r="B32" t="str">
        <f t="shared" ref="B32" si="39">IF($G31="","Hide","Show")</f>
        <v>Show</v>
      </c>
      <c r="H32" t="s">
        <v>182</v>
      </c>
    </row>
    <row r="33" spans="1:18" x14ac:dyDescent="0.25">
      <c r="A33" t="s">
        <v>27</v>
      </c>
      <c r="B33" t="str">
        <f t="shared" ref="B33" si="40">IF($G29="","Hide","Show")</f>
        <v>Show</v>
      </c>
    </row>
    <row r="34" spans="1:18" ht="17.25" hidden="1" x14ac:dyDescent="0.3">
      <c r="A34" t="s">
        <v>27</v>
      </c>
      <c r="B34" t="str">
        <f t="shared" ref="B34" si="41">IF($G35="","Hide","Show")</f>
        <v>Hide</v>
      </c>
      <c r="C34" t="str">
        <f>"""Ceres4"",""TCP-LIVE"",""14012281"",""1"",""BREAD"""</f>
        <v>"Ceres4","TCP-LIVE","14012281","1","BREAD"</v>
      </c>
      <c r="D34" t="s">
        <v>33</v>
      </c>
      <c r="E34" s="9" t="s">
        <v>10</v>
      </c>
      <c r="F34" s="2"/>
      <c r="G34" s="8" t="s">
        <v>177</v>
      </c>
    </row>
    <row r="35" spans="1:18" hidden="1" x14ac:dyDescent="0.25">
      <c r="A35" t="s">
        <v>27</v>
      </c>
      <c r="B35" t="str">
        <f t="shared" ref="B35" si="42">IF($G35="","Hide","Show")</f>
        <v>Hide</v>
      </c>
      <c r="E35" s="1"/>
      <c r="F35" t="s">
        <v>28</v>
      </c>
      <c r="G35" t="s">
        <v>28</v>
      </c>
      <c r="H35" t="s">
        <v>28</v>
      </c>
      <c r="I35" s="5" t="s">
        <v>28</v>
      </c>
      <c r="J35" s="5" t="s">
        <v>28</v>
      </c>
      <c r="K35" s="5" t="s">
        <v>87</v>
      </c>
      <c r="L35">
        <f t="shared" ref="L35" si="43">IFERROR(IF(K35*J35=0,"0",K35*J35),0)</f>
        <v>0</v>
      </c>
      <c r="M35" s="5" t="s">
        <v>28</v>
      </c>
      <c r="N35" t="e">
        <f t="shared" ref="N35" si="44">IF(M35*J35=0,"0",M35*J35)</f>
        <v>#VALUE!</v>
      </c>
      <c r="O35" s="5" t="s">
        <v>28</v>
      </c>
      <c r="P35" s="5" t="s">
        <v>28</v>
      </c>
      <c r="Q35" s="5" t="e">
        <f t="shared" ref="Q35" si="45">P35*O35</f>
        <v>#VALUE!</v>
      </c>
      <c r="R35" s="6" t="str">
        <f t="shared" ref="R35" si="46">IFERROR(Q35+N35+L35,"")</f>
        <v/>
      </c>
    </row>
    <row r="36" spans="1:18" hidden="1" x14ac:dyDescent="0.25">
      <c r="A36" t="s">
        <v>27</v>
      </c>
      <c r="B36" t="str">
        <f t="shared" ref="B36" si="47">IF($G35="","Hide","Show")</f>
        <v>Hide</v>
      </c>
      <c r="H36" t="s">
        <v>28</v>
      </c>
    </row>
    <row r="37" spans="1:18" hidden="1" x14ac:dyDescent="0.25">
      <c r="A37" t="s">
        <v>27</v>
      </c>
      <c r="B37" t="str">
        <f t="shared" ref="B37" si="48">IF($G35="","Hide","Show")</f>
        <v>Hide</v>
      </c>
    </row>
    <row r="38" spans="1:18" ht="17.25" x14ac:dyDescent="0.3">
      <c r="A38" t="s">
        <v>27</v>
      </c>
      <c r="B38" t="str">
        <f t="shared" ref="B38" si="49">IF($G39="","Hide","Show")</f>
        <v>Show</v>
      </c>
      <c r="C38" t="str">
        <f>"""Ceres4"",""TCP-LIVE"",""14012281"",""1"",""CEREAL/BRK"""</f>
        <v>"Ceres4","TCP-LIVE","14012281","1","CEREAL/BRK"</v>
      </c>
      <c r="D38" t="s">
        <v>34</v>
      </c>
      <c r="E38" s="9" t="s">
        <v>10</v>
      </c>
      <c r="F38" s="2"/>
      <c r="G38" s="8" t="s">
        <v>178</v>
      </c>
    </row>
    <row r="39" spans="1:18" x14ac:dyDescent="0.25">
      <c r="A39" t="s">
        <v>27</v>
      </c>
      <c r="B39" t="str">
        <f t="shared" ref="B39:B49" si="50">IF($G39="","Hide","Show")</f>
        <v>Show</v>
      </c>
      <c r="E39" s="1"/>
      <c r="F39" t="s">
        <v>183</v>
      </c>
      <c r="G39" t="str">
        <f>"070280"</f>
        <v>070280</v>
      </c>
      <c r="H39" t="str">
        <f>"Cereal - Captain Crunch"</f>
        <v>Cereal - Captain Crunch</v>
      </c>
      <c r="I39" s="5" t="str">
        <f>"CS"</f>
        <v>CS</v>
      </c>
      <c r="J39" s="5">
        <v>11</v>
      </c>
      <c r="K39" s="5">
        <v>0.19</v>
      </c>
      <c r="L39">
        <f t="shared" ref="L39" si="51">IFERROR(IF(K39*J39=0,"0",K39*J39),0)</f>
        <v>2.09</v>
      </c>
      <c r="M39" s="5">
        <v>0</v>
      </c>
      <c r="N39" t="str">
        <f t="shared" ref="N39" si="52">IF(M39*J39=0,"0",M39*J39)</f>
        <v>0</v>
      </c>
      <c r="O39" s="5">
        <v>1</v>
      </c>
      <c r="P39" s="5">
        <v>0</v>
      </c>
      <c r="Q39" s="5">
        <f t="shared" ref="Q39" si="53">P39*O39</f>
        <v>0</v>
      </c>
      <c r="R39" s="6">
        <f t="shared" ref="R39" si="54">IFERROR(Q39+N39+L39,"")</f>
        <v>2.09</v>
      </c>
    </row>
    <row r="40" spans="1:18" x14ac:dyDescent="0.25">
      <c r="A40" t="s">
        <v>27</v>
      </c>
      <c r="B40" t="str">
        <f t="shared" ref="B40" si="55">IF($G39="","Hide","Show")</f>
        <v>Show</v>
      </c>
      <c r="H40" t="str">
        <f>"3 pack"</f>
        <v>3 pack</v>
      </c>
    </row>
    <row r="41" spans="1:18" x14ac:dyDescent="0.25">
      <c r="A41" t="s">
        <v>27</v>
      </c>
      <c r="B41" t="str">
        <f t="shared" si="50"/>
        <v>Show</v>
      </c>
      <c r="E41" s="1"/>
      <c r="F41" t="str">
        <f>"""Ceres4"",""TCP-LIVE"",""27"",""1"",""P070003"""</f>
        <v>"Ceres4","TCP-LIVE","27","1","P070003"</v>
      </c>
      <c r="G41" t="str">
        <f>"P070003"</f>
        <v>P070003</v>
      </c>
      <c r="H41" t="str">
        <f>"Cereal - Rice Crispy Bowls"</f>
        <v>Cereal - Rice Crispy Bowls</v>
      </c>
      <c r="I41" s="5" t="str">
        <f>"CS"</f>
        <v>CS</v>
      </c>
      <c r="J41" s="5">
        <v>8</v>
      </c>
      <c r="K41" s="5">
        <v>20.63</v>
      </c>
      <c r="L41">
        <f t="shared" ref="L41" si="56">IFERROR(IF(K41*J41=0,"0",K41*J41),0)</f>
        <v>165.04</v>
      </c>
      <c r="M41" s="5">
        <v>0</v>
      </c>
      <c r="N41" t="str">
        <f t="shared" ref="N41" si="57">IF(M41*J41=0,"0",M41*J41)</f>
        <v>0</v>
      </c>
      <c r="O41" s="5">
        <v>1.2</v>
      </c>
      <c r="P41" s="5">
        <v>20.63</v>
      </c>
      <c r="Q41" s="5">
        <f t="shared" ref="Q41" si="58">P41*O41</f>
        <v>24.755999999999997</v>
      </c>
      <c r="R41" s="6">
        <f t="shared" ref="R41" si="59">IFERROR(Q41+N41+L41,"")</f>
        <v>189.79599999999999</v>
      </c>
    </row>
    <row r="42" spans="1:18" x14ac:dyDescent="0.25">
      <c r="A42" t="s">
        <v>27</v>
      </c>
      <c r="B42" t="str">
        <f t="shared" ref="B42" si="60">IF($G41="","Hide","Show")</f>
        <v>Show</v>
      </c>
      <c r="H42" t="str">
        <f>"96-1 oz"</f>
        <v>96-1 oz</v>
      </c>
    </row>
    <row r="43" spans="1:18" x14ac:dyDescent="0.25">
      <c r="A43" t="s">
        <v>27</v>
      </c>
      <c r="B43" t="str">
        <f t="shared" si="50"/>
        <v>Show</v>
      </c>
      <c r="E43" s="1"/>
      <c r="F43" t="str">
        <f>"""Ceres4"",""TCP-LIVE"",""27"",""1"",""P070009"""</f>
        <v>"Ceres4","TCP-LIVE","27","1","P070009"</v>
      </c>
      <c r="G43" t="str">
        <f>"P070009"</f>
        <v>P070009</v>
      </c>
      <c r="H43" t="str">
        <f>"Breakfast - Whole Wheat Pancakes"</f>
        <v>Breakfast - Whole Wheat Pancakes</v>
      </c>
      <c r="I43" s="5" t="str">
        <f>"EA"</f>
        <v>EA</v>
      </c>
      <c r="J43" s="5">
        <v>1</v>
      </c>
      <c r="K43" s="5">
        <v>0</v>
      </c>
      <c r="L43" t="str">
        <f t="shared" ref="L43" si="61">IFERROR(IF(K43*J43=0,"0",K43*J43),0)</f>
        <v>0</v>
      </c>
      <c r="M43" s="5">
        <v>0</v>
      </c>
      <c r="N43" t="str">
        <f t="shared" ref="N43" si="62">IF(M43*J43=0,"0",M43*J43)</f>
        <v>0</v>
      </c>
      <c r="O43" s="5">
        <v>1.1499999999999999</v>
      </c>
      <c r="P43" s="5">
        <v>2.19</v>
      </c>
      <c r="Q43" s="5">
        <f t="shared" ref="Q43" si="63">P43*O43</f>
        <v>2.5185</v>
      </c>
      <c r="R43" s="6">
        <f t="shared" ref="R43" si="64">IFERROR(Q43+N43+L43,"")</f>
        <v>2.5185</v>
      </c>
    </row>
    <row r="44" spans="1:18" x14ac:dyDescent="0.25">
      <c r="A44" t="s">
        <v>27</v>
      </c>
      <c r="B44" t="str">
        <f t="shared" ref="B44" si="65">IF($G43="","Hide","Show")</f>
        <v>Show</v>
      </c>
      <c r="H44" t="str">
        <f>"1pk - 12 sm cakes"</f>
        <v>1pk - 12 sm cakes</v>
      </c>
    </row>
    <row r="45" spans="1:18" x14ac:dyDescent="0.25">
      <c r="A45" t="s">
        <v>27</v>
      </c>
      <c r="B45" t="str">
        <f t="shared" si="50"/>
        <v>Show</v>
      </c>
      <c r="E45" s="1"/>
      <c r="F45" t="str">
        <f>"""Ceres4"",""TCP-LIVE"",""27"",""1"",""P070010"""</f>
        <v>"Ceres4","TCP-LIVE","27","1","P070010"</v>
      </c>
      <c r="G45" t="str">
        <f>"P070010"</f>
        <v>P070010</v>
      </c>
      <c r="H45" t="str">
        <f>"Breakfast-Pancake Mix"</f>
        <v>Breakfast-Pancake Mix</v>
      </c>
      <c r="I45" s="5" t="str">
        <f>"CS"</f>
        <v>CS</v>
      </c>
      <c r="J45" s="5">
        <v>14</v>
      </c>
      <c r="K45" s="5">
        <v>0</v>
      </c>
      <c r="L45" t="str">
        <f t="shared" ref="L45" si="66">IFERROR(IF(K45*J45=0,"0",K45*J45),0)</f>
        <v>0</v>
      </c>
      <c r="M45" s="5">
        <v>0</v>
      </c>
      <c r="N45" t="str">
        <f t="shared" ref="N45" si="67">IF(M45*J45=0,"0",M45*J45)</f>
        <v>0</v>
      </c>
      <c r="O45" s="5">
        <v>1.2</v>
      </c>
      <c r="P45" s="5">
        <v>10.73</v>
      </c>
      <c r="Q45" s="5">
        <f t="shared" ref="Q45" si="68">P45*O45</f>
        <v>12.875999999999999</v>
      </c>
      <c r="R45" s="6">
        <f t="shared" ref="R45" si="69">IFERROR(Q45+N45+L45,"")</f>
        <v>12.875999999999999</v>
      </c>
    </row>
    <row r="46" spans="1:18" x14ac:dyDescent="0.25">
      <c r="A46" t="s">
        <v>27</v>
      </c>
      <c r="B46" t="str">
        <f t="shared" ref="B46" si="70">IF($G45="","Hide","Show")</f>
        <v>Show</v>
      </c>
      <c r="H46" t="str">
        <f>"12-17 oz"</f>
        <v>12-17 oz</v>
      </c>
    </row>
    <row r="47" spans="1:18" x14ac:dyDescent="0.25">
      <c r="A47" t="s">
        <v>27</v>
      </c>
      <c r="B47" t="str">
        <f t="shared" si="50"/>
        <v>Show</v>
      </c>
      <c r="E47" s="1"/>
      <c r="F47" t="str">
        <f>"""Ceres4"",""TCP-LIVE"",""27"",""1"",""P070014"""</f>
        <v>"Ceres4","TCP-LIVE","27","1","P070014"</v>
      </c>
      <c r="G47" t="str">
        <f>"P070014"</f>
        <v>P070014</v>
      </c>
      <c r="H47" t="str">
        <f>"Breakfast - French Toast "</f>
        <v xml:space="preserve">Breakfast - French Toast </v>
      </c>
      <c r="I47" s="5" t="str">
        <f>"EA"</f>
        <v>EA</v>
      </c>
      <c r="J47" s="5">
        <v>1</v>
      </c>
      <c r="K47" s="5">
        <v>0</v>
      </c>
      <c r="L47" t="str">
        <f t="shared" ref="L47" si="71">IFERROR(IF(K47*J47=0,"0",K47*J47),0)</f>
        <v>0</v>
      </c>
      <c r="M47" s="5">
        <v>0</v>
      </c>
      <c r="N47" t="str">
        <f t="shared" ref="N47" si="72">IF(M47*J47=0,"0",M47*J47)</f>
        <v>0</v>
      </c>
      <c r="O47" s="5">
        <v>1.2</v>
      </c>
      <c r="P47" s="5">
        <v>4.7324000000000002</v>
      </c>
      <c r="Q47" s="5">
        <f t="shared" ref="Q47" si="73">P47*O47</f>
        <v>5.6788800000000004</v>
      </c>
      <c r="R47" s="6">
        <f t="shared" ref="R47" si="74">IFERROR(Q47+N47+L47,"")</f>
        <v>5.6788800000000004</v>
      </c>
    </row>
    <row r="48" spans="1:18" x14ac:dyDescent="0.25">
      <c r="A48" t="s">
        <v>27</v>
      </c>
      <c r="B48" t="str">
        <f t="shared" ref="B48" si="75">IF($G47="","Hide","Show")</f>
        <v>Show</v>
      </c>
      <c r="H48" t="str">
        <f>"1 pk of 12"</f>
        <v>1 pk of 12</v>
      </c>
    </row>
    <row r="49" spans="1:18" x14ac:dyDescent="0.25">
      <c r="A49" t="s">
        <v>27</v>
      </c>
      <c r="B49" t="str">
        <f t="shared" si="50"/>
        <v>Show</v>
      </c>
      <c r="E49" s="1"/>
      <c r="F49" t="str">
        <f>"""Ceres4"",""TCP-LIVE"",""27"",""1"",""P070016"""</f>
        <v>"Ceres4","TCP-LIVE","27","1","P070016"</v>
      </c>
      <c r="G49" t="str">
        <f>"P070016"</f>
        <v>P070016</v>
      </c>
      <c r="H49" t="str">
        <f>"Breakfast- Maple Waffles Sticks"</f>
        <v>Breakfast- Maple Waffles Sticks</v>
      </c>
      <c r="I49" s="5" t="str">
        <f>"BAG"</f>
        <v>BAG</v>
      </c>
      <c r="J49" s="5">
        <v>4</v>
      </c>
      <c r="K49" s="5">
        <v>0</v>
      </c>
      <c r="L49" t="str">
        <f t="shared" ref="L49" si="76">IFERROR(IF(K49*J49=0,"0",K49*J49),0)</f>
        <v>0</v>
      </c>
      <c r="M49" s="5">
        <v>0</v>
      </c>
      <c r="N49" t="str">
        <f t="shared" ref="N49" si="77">IF(M49*J49=0,"0",M49*J49)</f>
        <v>0</v>
      </c>
      <c r="O49" s="5">
        <v>1.1499999999999999</v>
      </c>
      <c r="P49" s="5">
        <v>13.88</v>
      </c>
      <c r="Q49" s="5">
        <f t="shared" ref="Q49" si="78">P49*O49</f>
        <v>15.962</v>
      </c>
      <c r="R49" s="6">
        <f t="shared" ref="R49" si="79">IFERROR(Q49+N49+L49,"")</f>
        <v>15.962</v>
      </c>
    </row>
    <row r="50" spans="1:18" x14ac:dyDescent="0.25">
      <c r="A50" t="s">
        <v>27</v>
      </c>
      <c r="B50" t="str">
        <f t="shared" ref="B50" si="80">IF($G49="","Hide","Show")</f>
        <v>Show</v>
      </c>
      <c r="H50" t="str">
        <f>"24-2.4 oz"</f>
        <v>24-2.4 oz</v>
      </c>
    </row>
    <row r="51" spans="1:18" x14ac:dyDescent="0.25">
      <c r="A51" t="s">
        <v>27</v>
      </c>
      <c r="B51" t="str">
        <f t="shared" ref="B51" si="81">IF($G39="","Hide","Show")</f>
        <v>Show</v>
      </c>
    </row>
    <row r="52" spans="1:18" ht="17.25" x14ac:dyDescent="0.3">
      <c r="A52" t="s">
        <v>27</v>
      </c>
      <c r="B52" t="str">
        <f t="shared" ref="B52" si="82">IF($G53="","Hide","Show")</f>
        <v>Show</v>
      </c>
      <c r="C52" t="str">
        <f>"""Ceres4"",""TCP-LIVE"",""14012281"",""1"",""CONDIMENT"""</f>
        <v>"Ceres4","TCP-LIVE","14012281","1","CONDIMENT"</v>
      </c>
      <c r="D52" t="s">
        <v>35</v>
      </c>
      <c r="E52" s="9" t="s">
        <v>10</v>
      </c>
      <c r="F52" s="2"/>
      <c r="G52" s="8" t="s">
        <v>172</v>
      </c>
    </row>
    <row r="53" spans="1:18" x14ac:dyDescent="0.25">
      <c r="A53" t="s">
        <v>27</v>
      </c>
      <c r="B53" t="str">
        <f t="shared" ref="B53:B73" si="83">IF($G53="","Hide","Show")</f>
        <v>Show</v>
      </c>
      <c r="E53" s="1"/>
      <c r="F53" t="s">
        <v>173</v>
      </c>
      <c r="G53" t="str">
        <f>"130044"</f>
        <v>130044</v>
      </c>
      <c r="H53" t="str">
        <f>"Condiment - Jelly Single Serve"</f>
        <v>Condiment - Jelly Single Serve</v>
      </c>
      <c r="I53" s="5" t="str">
        <f>"CS"</f>
        <v>CS</v>
      </c>
      <c r="J53" s="5">
        <v>6</v>
      </c>
      <c r="K53" s="5">
        <v>0.19</v>
      </c>
      <c r="L53">
        <f t="shared" ref="L53" si="84">IFERROR(IF(K53*J53=0,"0",K53*J53),0)</f>
        <v>1.1400000000000001</v>
      </c>
      <c r="M53" s="5">
        <v>0</v>
      </c>
      <c r="N53" t="str">
        <f t="shared" ref="N53" si="85">IF(M53*J53=0,"0",M53*J53)</f>
        <v>0</v>
      </c>
      <c r="O53" s="5">
        <v>1</v>
      </c>
      <c r="P53" s="5">
        <v>0</v>
      </c>
      <c r="Q53" s="5">
        <f t="shared" ref="Q53" si="86">P53*O53</f>
        <v>0</v>
      </c>
      <c r="R53" s="6">
        <f t="shared" ref="R53" si="87">IFERROR(Q53+N53+L53,"")</f>
        <v>1.1400000000000001</v>
      </c>
    </row>
    <row r="54" spans="1:18" x14ac:dyDescent="0.25">
      <c r="A54" t="s">
        <v>27</v>
      </c>
      <c r="B54" t="str">
        <f t="shared" ref="B54" si="88">IF($G53="","Hide","Show")</f>
        <v>Show</v>
      </c>
      <c r="H54" t="str">
        <f>"200- 1/2 oz"</f>
        <v>200- 1/2 oz</v>
      </c>
    </row>
    <row r="55" spans="1:18" x14ac:dyDescent="0.25">
      <c r="A55" t="s">
        <v>27</v>
      </c>
      <c r="B55" t="str">
        <f t="shared" si="83"/>
        <v>Show</v>
      </c>
      <c r="E55" s="1"/>
      <c r="F55" t="str">
        <f>"""Ceres4"",""TCP-LIVE"",""27"",""1"",""130121"""</f>
        <v>"Ceres4","TCP-LIVE","27","1","130121"</v>
      </c>
      <c r="G55" t="str">
        <f>"130121"</f>
        <v>130121</v>
      </c>
      <c r="H55" t="str">
        <f>"Condinment - Jelly"</f>
        <v>Condinment - Jelly</v>
      </c>
      <c r="I55" s="5" t="str">
        <f>"CS"</f>
        <v>CS</v>
      </c>
      <c r="J55" s="5">
        <v>4</v>
      </c>
      <c r="K55" s="5">
        <v>0.19</v>
      </c>
      <c r="L55">
        <f t="shared" ref="L55" si="89">IFERROR(IF(K55*J55=0,"0",K55*J55),0)</f>
        <v>0.76</v>
      </c>
      <c r="M55" s="5">
        <v>0</v>
      </c>
      <c r="N55" t="str">
        <f t="shared" ref="N55" si="90">IF(M55*J55=0,"0",M55*J55)</f>
        <v>0</v>
      </c>
      <c r="O55" s="5">
        <v>1</v>
      </c>
      <c r="P55" s="5">
        <v>0</v>
      </c>
      <c r="Q55" s="5">
        <f t="shared" ref="Q55" si="91">P55*O55</f>
        <v>0</v>
      </c>
      <c r="R55" s="6">
        <f t="shared" ref="R55" si="92">IFERROR(Q55+N55+L55,"")</f>
        <v>0.76</v>
      </c>
    </row>
    <row r="56" spans="1:18" x14ac:dyDescent="0.25">
      <c r="A56" t="s">
        <v>27</v>
      </c>
      <c r="B56" t="str">
        <f t="shared" ref="B56" si="93">IF($G55="","Hide","Show")</f>
        <v>Show</v>
      </c>
      <c r="H56" t="str">
        <f>"100-1/2 oz"</f>
        <v>100-1/2 oz</v>
      </c>
    </row>
    <row r="57" spans="1:18" x14ac:dyDescent="0.25">
      <c r="A57" t="s">
        <v>27</v>
      </c>
      <c r="B57" t="str">
        <f t="shared" si="83"/>
        <v>Show</v>
      </c>
      <c r="E57" s="1"/>
      <c r="F57" t="str">
        <f>"""Ceres4"",""TCP-LIVE"",""27"",""1"",""P100000"""</f>
        <v>"Ceres4","TCP-LIVE","27","1","P100000"</v>
      </c>
      <c r="G57" t="str">
        <f>"P100000"</f>
        <v>P100000</v>
      </c>
      <c r="H57" t="str">
        <f>"Condiment - Turkey Stuffing"</f>
        <v>Condiment - Turkey Stuffing</v>
      </c>
      <c r="I57" s="5" t="str">
        <f>"EA"</f>
        <v>EA</v>
      </c>
      <c r="J57" s="5">
        <v>1</v>
      </c>
      <c r="K57" s="5">
        <v>0</v>
      </c>
      <c r="L57" t="str">
        <f t="shared" ref="L57" si="94">IFERROR(IF(K57*J57=0,"0",K57*J57),0)</f>
        <v>0</v>
      </c>
      <c r="M57" s="5">
        <v>0</v>
      </c>
      <c r="N57" t="str">
        <f t="shared" ref="N57" si="95">IF(M57*J57=0,"0",M57*J57)</f>
        <v>0</v>
      </c>
      <c r="O57" s="5">
        <v>1.2</v>
      </c>
      <c r="P57" s="5">
        <v>1.19</v>
      </c>
      <c r="Q57" s="5">
        <f t="shared" ref="Q57" si="96">P57*O57</f>
        <v>1.4279999999999999</v>
      </c>
      <c r="R57" s="6">
        <f t="shared" ref="R57" si="97">IFERROR(Q57+N57+L57,"")</f>
        <v>1.4279999999999999</v>
      </c>
    </row>
    <row r="58" spans="1:18" x14ac:dyDescent="0.25">
      <c r="A58" t="s">
        <v>27</v>
      </c>
      <c r="B58" t="str">
        <f t="shared" ref="B58" si="98">IF($G57="","Hide","Show")</f>
        <v>Show</v>
      </c>
      <c r="H58" t="str">
        <f>"1 - 16 oz "</f>
        <v xml:space="preserve">1 - 16 oz </v>
      </c>
    </row>
    <row r="59" spans="1:18" x14ac:dyDescent="0.25">
      <c r="A59" t="s">
        <v>27</v>
      </c>
      <c r="B59" t="str">
        <f t="shared" si="83"/>
        <v>Show</v>
      </c>
      <c r="E59" s="1"/>
      <c r="F59" t="str">
        <f>"""Ceres4"",""TCP-LIVE"",""27"",""1"",""P100005"""</f>
        <v>"Ceres4","TCP-LIVE","27","1","P100005"</v>
      </c>
      <c r="G59" t="str">
        <f>"P100005"</f>
        <v>P100005</v>
      </c>
      <c r="H59" t="str">
        <f>"Condiment - Whipping Cream"</f>
        <v>Condiment - Whipping Cream</v>
      </c>
      <c r="I59" s="5" t="str">
        <f>"EA"</f>
        <v>EA</v>
      </c>
      <c r="J59" s="5">
        <v>1</v>
      </c>
      <c r="K59" s="5">
        <v>0</v>
      </c>
      <c r="L59" t="str">
        <f t="shared" ref="L59" si="99">IFERROR(IF(K59*J59=0,"0",K59*J59),0)</f>
        <v>0</v>
      </c>
      <c r="M59" s="5">
        <v>0</v>
      </c>
      <c r="N59" t="str">
        <f t="shared" ref="N59" si="100">IF(M59*J59=0,"0",M59*J59)</f>
        <v>0</v>
      </c>
      <c r="O59" s="5">
        <v>1.1499999999999999</v>
      </c>
      <c r="P59" s="5">
        <v>0.89</v>
      </c>
      <c r="Q59" s="5">
        <f t="shared" ref="Q59" si="101">P59*O59</f>
        <v>1.0234999999999999</v>
      </c>
      <c r="R59" s="6">
        <f t="shared" ref="R59" si="102">IFERROR(Q59+N59+L59,"")</f>
        <v>1.0234999999999999</v>
      </c>
    </row>
    <row r="60" spans="1:18" x14ac:dyDescent="0.25">
      <c r="A60" t="s">
        <v>27</v>
      </c>
      <c r="B60" t="str">
        <f t="shared" ref="B60" si="103">IF($G59="","Hide","Show")</f>
        <v>Show</v>
      </c>
      <c r="H60" t="str">
        <f>"1 tub"</f>
        <v>1 tub</v>
      </c>
    </row>
    <row r="61" spans="1:18" x14ac:dyDescent="0.25">
      <c r="A61" t="s">
        <v>27</v>
      </c>
      <c r="B61" t="str">
        <f t="shared" si="83"/>
        <v>Show</v>
      </c>
      <c r="E61" s="1"/>
      <c r="F61" t="str">
        <f>"""Ceres4"",""TCP-LIVE"",""27"",""1"",""P100007"""</f>
        <v>"Ceres4","TCP-LIVE","27","1","P100007"</v>
      </c>
      <c r="G61" t="str">
        <f>"P100007"</f>
        <v>P100007</v>
      </c>
      <c r="H61" t="str">
        <f>"Condinment - Pickle spears"</f>
        <v>Condinment - Pickle spears</v>
      </c>
      <c r="I61" s="5" t="str">
        <f>"EA"</f>
        <v>EA</v>
      </c>
      <c r="J61" s="5">
        <v>8</v>
      </c>
      <c r="K61" s="5">
        <v>0</v>
      </c>
      <c r="L61" t="str">
        <f t="shared" ref="L61" si="104">IFERROR(IF(K61*J61=0,"0",K61*J61),0)</f>
        <v>0</v>
      </c>
      <c r="M61" s="5">
        <v>0</v>
      </c>
      <c r="N61" t="str">
        <f t="shared" ref="N61" si="105">IF(M61*J61=0,"0",M61*J61)</f>
        <v>0</v>
      </c>
      <c r="O61" s="5">
        <v>1.05</v>
      </c>
      <c r="P61" s="5">
        <v>10.210000000000001</v>
      </c>
      <c r="Q61" s="5">
        <f t="shared" ref="Q61" si="106">P61*O61</f>
        <v>10.720500000000001</v>
      </c>
      <c r="R61" s="6">
        <f t="shared" ref="R61" si="107">IFERROR(Q61+N61+L61,"")</f>
        <v>10.720500000000001</v>
      </c>
    </row>
    <row r="62" spans="1:18" x14ac:dyDescent="0.25">
      <c r="A62" t="s">
        <v>27</v>
      </c>
      <c r="B62" t="str">
        <f t="shared" ref="B62" si="108">IF($G61="","Hide","Show")</f>
        <v>Show</v>
      </c>
      <c r="H62" t="str">
        <f>"1 Gallon jar"</f>
        <v>1 Gallon jar</v>
      </c>
    </row>
    <row r="63" spans="1:18" x14ac:dyDescent="0.25">
      <c r="A63" t="s">
        <v>27</v>
      </c>
      <c r="B63" t="str">
        <f t="shared" si="83"/>
        <v>Show</v>
      </c>
      <c r="E63" s="1"/>
      <c r="F63" t="str">
        <f>"""Ceres4"",""TCP-LIVE"",""27"",""1"",""P120003"""</f>
        <v>"Ceres4","TCP-LIVE","27","1","P120003"</v>
      </c>
      <c r="G63" t="str">
        <f>"P120003"</f>
        <v>P120003</v>
      </c>
      <c r="H63" t="str">
        <f>"Condiment - Turkey Stuffing Mix"</f>
        <v>Condiment - Turkey Stuffing Mix</v>
      </c>
      <c r="I63" s="5" t="str">
        <f>"CS"</f>
        <v>CS</v>
      </c>
      <c r="J63" s="5">
        <v>5</v>
      </c>
      <c r="K63" s="5">
        <v>0</v>
      </c>
      <c r="L63" t="str">
        <f t="shared" ref="L63" si="109">IFERROR(IF(K63*J63=0,"0",K63*J63),0)</f>
        <v>0</v>
      </c>
      <c r="M63" s="5">
        <v>0</v>
      </c>
      <c r="N63" t="str">
        <f t="shared" ref="N63" si="110">IF(M63*J63=0,"0",M63*J63)</f>
        <v>0</v>
      </c>
      <c r="O63" s="5">
        <v>1.2</v>
      </c>
      <c r="P63" s="5">
        <v>9.5299999999999994</v>
      </c>
      <c r="Q63" s="5">
        <f t="shared" ref="Q63" si="111">P63*O63</f>
        <v>11.435999999999998</v>
      </c>
      <c r="R63" s="6">
        <f t="shared" ref="R63" si="112">IFERROR(Q63+N63+L63,"")</f>
        <v>11.435999999999998</v>
      </c>
    </row>
    <row r="64" spans="1:18" x14ac:dyDescent="0.25">
      <c r="A64" t="s">
        <v>27</v>
      </c>
      <c r="B64" t="str">
        <f t="shared" ref="B64" si="113">IF($G63="","Hide","Show")</f>
        <v>Show</v>
      </c>
      <c r="H64" t="str">
        <f>"12-6 oz"</f>
        <v>12-6 oz</v>
      </c>
    </row>
    <row r="65" spans="1:18" x14ac:dyDescent="0.25">
      <c r="A65" t="s">
        <v>27</v>
      </c>
      <c r="B65" t="str">
        <f t="shared" si="83"/>
        <v>Show</v>
      </c>
      <c r="E65" s="1"/>
      <c r="F65" t="str">
        <f>"""Ceres4"",""TCP-LIVE"",""27"",""1"",""P120007"""</f>
        <v>"Ceres4","TCP-LIVE","27","1","P120007"</v>
      </c>
      <c r="G65" t="str">
        <f>"P120007"</f>
        <v>P120007</v>
      </c>
      <c r="H65" t="str">
        <f>"Condiment- Cranberry Sauce"</f>
        <v>Condiment- Cranberry Sauce</v>
      </c>
      <c r="I65" s="5" t="str">
        <f>"CS"</f>
        <v>CS</v>
      </c>
      <c r="J65" s="5">
        <v>21</v>
      </c>
      <c r="K65" s="5">
        <v>0</v>
      </c>
      <c r="L65" t="str">
        <f t="shared" ref="L65" si="114">IFERROR(IF(K65*J65=0,"0",K65*J65),0)</f>
        <v>0</v>
      </c>
      <c r="M65" s="5">
        <v>0</v>
      </c>
      <c r="N65" t="str">
        <f t="shared" ref="N65" si="115">IF(M65*J65=0,"0",M65*J65)</f>
        <v>0</v>
      </c>
      <c r="O65" s="5">
        <v>1.2</v>
      </c>
      <c r="P65" s="5">
        <v>30.96</v>
      </c>
      <c r="Q65" s="5">
        <f t="shared" ref="Q65" si="116">P65*O65</f>
        <v>37.152000000000001</v>
      </c>
      <c r="R65" s="6">
        <f t="shared" ref="R65" si="117">IFERROR(Q65+N65+L65,"")</f>
        <v>37.152000000000001</v>
      </c>
    </row>
    <row r="66" spans="1:18" x14ac:dyDescent="0.25">
      <c r="A66" t="s">
        <v>27</v>
      </c>
      <c r="B66" t="str">
        <f t="shared" ref="B66" si="118">IF($G65="","Hide","Show")</f>
        <v>Show</v>
      </c>
      <c r="H66" t="str">
        <f>"24-14 oz"</f>
        <v>24-14 oz</v>
      </c>
    </row>
    <row r="67" spans="1:18" x14ac:dyDescent="0.25">
      <c r="A67" t="s">
        <v>27</v>
      </c>
      <c r="B67" t="str">
        <f t="shared" si="83"/>
        <v>Show</v>
      </c>
      <c r="E67" s="1"/>
      <c r="F67" t="str">
        <f>"""Ceres4"",""TCP-LIVE"",""27"",""1"",""P120054"""</f>
        <v>"Ceres4","TCP-LIVE","27","1","P120054"</v>
      </c>
      <c r="G67" t="str">
        <f>"P120054"</f>
        <v>P120054</v>
      </c>
      <c r="H67" t="str">
        <f>"Condiment-Sauce Sloppy Joe"</f>
        <v>Condiment-Sauce Sloppy Joe</v>
      </c>
      <c r="I67" s="5" t="str">
        <f>"CS"</f>
        <v>CS</v>
      </c>
      <c r="J67" s="5">
        <v>23</v>
      </c>
      <c r="K67" s="5">
        <v>0</v>
      </c>
      <c r="L67" t="str">
        <f t="shared" ref="L67" si="119">IFERROR(IF(K67*J67=0,"0",K67*J67),0)</f>
        <v>0</v>
      </c>
      <c r="M67" s="5">
        <v>0</v>
      </c>
      <c r="N67" t="str">
        <f t="shared" ref="N67" si="120">IF(M67*J67=0,"0",M67*J67)</f>
        <v>0</v>
      </c>
      <c r="O67" s="5">
        <v>1.2</v>
      </c>
      <c r="P67" s="5">
        <v>16.43</v>
      </c>
      <c r="Q67" s="5">
        <f t="shared" ref="Q67" si="121">P67*O67</f>
        <v>19.715999999999998</v>
      </c>
      <c r="R67" s="6">
        <f t="shared" ref="R67" si="122">IFERROR(Q67+N67+L67,"")</f>
        <v>19.715999999999998</v>
      </c>
    </row>
    <row r="68" spans="1:18" x14ac:dyDescent="0.25">
      <c r="A68" t="s">
        <v>27</v>
      </c>
      <c r="B68" t="str">
        <f t="shared" ref="B68" si="123">IF($G67="","Hide","Show")</f>
        <v>Show</v>
      </c>
      <c r="H68" t="str">
        <f>"24-15.5 oz"</f>
        <v>24-15.5 oz</v>
      </c>
    </row>
    <row r="69" spans="1:18" x14ac:dyDescent="0.25">
      <c r="A69" t="s">
        <v>27</v>
      </c>
      <c r="B69" t="str">
        <f t="shared" si="83"/>
        <v>Show</v>
      </c>
      <c r="E69" s="1"/>
      <c r="F69" t="str">
        <f>"""Ceres4"",""TCP-LIVE"",""27"",""1"",""P130013"""</f>
        <v>"Ceres4","TCP-LIVE","27","1","P130013"</v>
      </c>
      <c r="G69" t="str">
        <f>"P130013"</f>
        <v>P130013</v>
      </c>
      <c r="H69" t="str">
        <f>"Condiment-Pancake Syrup"</f>
        <v>Condiment-Pancake Syrup</v>
      </c>
      <c r="I69" s="5" t="str">
        <f>"CS"</f>
        <v>CS</v>
      </c>
      <c r="J69" s="5">
        <v>9</v>
      </c>
      <c r="K69" s="5">
        <v>0</v>
      </c>
      <c r="L69" t="str">
        <f t="shared" ref="L69" si="124">IFERROR(IF(K69*J69=0,"0",K69*J69),0)</f>
        <v>0</v>
      </c>
      <c r="M69" s="5">
        <v>0</v>
      </c>
      <c r="N69" t="str">
        <f t="shared" ref="N69" si="125">IF(M69*J69=0,"0",M69*J69)</f>
        <v>0</v>
      </c>
      <c r="O69" s="5">
        <v>1.2</v>
      </c>
      <c r="P69" s="5">
        <v>10.97</v>
      </c>
      <c r="Q69" s="5">
        <f t="shared" ref="Q69" si="126">P69*O69</f>
        <v>13.164</v>
      </c>
      <c r="R69" s="6">
        <f t="shared" ref="R69" si="127">IFERROR(Q69+N69+L69,"")</f>
        <v>13.164</v>
      </c>
    </row>
    <row r="70" spans="1:18" x14ac:dyDescent="0.25">
      <c r="A70" t="s">
        <v>27</v>
      </c>
      <c r="B70" t="str">
        <f t="shared" ref="B70" si="128">IF($G69="","Hide","Show")</f>
        <v>Show</v>
      </c>
      <c r="H70" t="str">
        <f>"12-12 oz"</f>
        <v>12-12 oz</v>
      </c>
    </row>
    <row r="71" spans="1:18" x14ac:dyDescent="0.25">
      <c r="A71" t="s">
        <v>27</v>
      </c>
      <c r="B71" t="str">
        <f t="shared" si="83"/>
        <v>Show</v>
      </c>
      <c r="E71" s="1"/>
      <c r="F71" t="str">
        <f>"""Ceres4"",""TCP-LIVE"",""27"",""1"",""P130015"""</f>
        <v>"Ceres4","TCP-LIVE","27","1","P130015"</v>
      </c>
      <c r="G71" t="str">
        <f>"P130015"</f>
        <v>P130015</v>
      </c>
      <c r="H71" t="str">
        <f>"Condiment - Raspberry Preserve"</f>
        <v>Condiment - Raspberry Preserve</v>
      </c>
      <c r="I71" s="5" t="str">
        <f>"CS"</f>
        <v>CS</v>
      </c>
      <c r="J71" s="5">
        <v>15</v>
      </c>
      <c r="K71" s="5">
        <v>0</v>
      </c>
      <c r="L71" t="str">
        <f t="shared" ref="L71" si="129">IFERROR(IF(K71*J71=0,"0",K71*J71),0)</f>
        <v>0</v>
      </c>
      <c r="M71" s="5">
        <v>0</v>
      </c>
      <c r="N71" t="str">
        <f t="shared" ref="N71" si="130">IF(M71*J71=0,"0",M71*J71)</f>
        <v>0</v>
      </c>
      <c r="O71" s="5">
        <v>1.2</v>
      </c>
      <c r="P71" s="5">
        <v>9.5299999999999994</v>
      </c>
      <c r="Q71" s="5">
        <f t="shared" ref="Q71" si="131">P71*O71</f>
        <v>11.435999999999998</v>
      </c>
      <c r="R71" s="6">
        <f t="shared" ref="R71" si="132">IFERROR(Q71+N71+L71,"")</f>
        <v>11.435999999999998</v>
      </c>
    </row>
    <row r="72" spans="1:18" x14ac:dyDescent="0.25">
      <c r="A72" t="s">
        <v>27</v>
      </c>
      <c r="B72" t="str">
        <f t="shared" ref="B72" si="133">IF($G71="","Hide","Show")</f>
        <v>Show</v>
      </c>
      <c r="H72" t="str">
        <f>"12-13 oz"</f>
        <v>12-13 oz</v>
      </c>
    </row>
    <row r="73" spans="1:18" x14ac:dyDescent="0.25">
      <c r="A73" t="s">
        <v>27</v>
      </c>
      <c r="B73" t="str">
        <f t="shared" si="83"/>
        <v>Show</v>
      </c>
      <c r="E73" s="1"/>
      <c r="F73" t="str">
        <f>"""Ceres4"",""TCP-LIVE"",""27"",""1"",""P130020"""</f>
        <v>"Ceres4","TCP-LIVE","27","1","P130020"</v>
      </c>
      <c r="G73" t="str">
        <f>"P130020"</f>
        <v>P130020</v>
      </c>
      <c r="H73" t="str">
        <f>"Condiment - Nacho Cheese"</f>
        <v>Condiment - Nacho Cheese</v>
      </c>
      <c r="I73" s="5" t="str">
        <f>"CS"</f>
        <v>CS</v>
      </c>
      <c r="J73" s="5">
        <v>30</v>
      </c>
      <c r="K73" s="5">
        <v>0</v>
      </c>
      <c r="L73" t="str">
        <f t="shared" ref="L73" si="134">IFERROR(IF(K73*J73=0,"0",K73*J73),0)</f>
        <v>0</v>
      </c>
      <c r="M73" s="5">
        <v>0</v>
      </c>
      <c r="N73" t="str">
        <f t="shared" ref="N73" si="135">IF(M73*J73=0,"0",M73*J73)</f>
        <v>0</v>
      </c>
      <c r="O73" s="5">
        <v>1.2</v>
      </c>
      <c r="P73" s="5">
        <v>49.92</v>
      </c>
      <c r="Q73" s="5">
        <f t="shared" ref="Q73" si="136">P73*O73</f>
        <v>59.903999999999996</v>
      </c>
      <c r="R73" s="6">
        <f t="shared" ref="R73" si="137">IFERROR(Q73+N73+L73,"")</f>
        <v>59.903999999999996</v>
      </c>
    </row>
    <row r="74" spans="1:18" x14ac:dyDescent="0.25">
      <c r="A74" t="s">
        <v>27</v>
      </c>
      <c r="B74" t="str">
        <f t="shared" ref="B74" si="138">IF($G73="","Hide","Show")</f>
        <v>Show</v>
      </c>
      <c r="H74" t="str">
        <f>"4 - 107 oz bag"</f>
        <v>4 - 107 oz bag</v>
      </c>
    </row>
    <row r="75" spans="1:18" x14ac:dyDescent="0.25">
      <c r="A75" t="s">
        <v>27</v>
      </c>
      <c r="B75" t="str">
        <f t="shared" ref="B75" si="139">IF($G53="","Hide","Show")</f>
        <v>Show</v>
      </c>
    </row>
    <row r="76" spans="1:18" ht="17.25" x14ac:dyDescent="0.3">
      <c r="A76" t="s">
        <v>27</v>
      </c>
      <c r="B76" t="str">
        <f t="shared" ref="B76" si="140">IF($G77="","Hide","Show")</f>
        <v>Show</v>
      </c>
      <c r="C76" t="str">
        <f>"""Ceres4"",""TCP-LIVE"",""14012281"",""1"",""DAIRY"""</f>
        <v>"Ceres4","TCP-LIVE","14012281","1","DAIRY"</v>
      </c>
      <c r="D76" t="s">
        <v>36</v>
      </c>
      <c r="E76" s="9" t="s">
        <v>10</v>
      </c>
      <c r="F76" s="2"/>
      <c r="G76" s="8" t="s">
        <v>151</v>
      </c>
    </row>
    <row r="77" spans="1:18" x14ac:dyDescent="0.25">
      <c r="A77" t="s">
        <v>27</v>
      </c>
      <c r="B77" t="str">
        <f t="shared" ref="B77:B81" si="141">IF($G77="","Hide","Show")</f>
        <v>Show</v>
      </c>
      <c r="E77" s="1"/>
      <c r="F77" t="s">
        <v>171</v>
      </c>
      <c r="G77" t="s">
        <v>152</v>
      </c>
      <c r="H77" t="s">
        <v>160</v>
      </c>
      <c r="I77" s="5" t="s">
        <v>117</v>
      </c>
      <c r="J77" s="5">
        <v>5</v>
      </c>
      <c r="K77" s="5">
        <v>0</v>
      </c>
      <c r="L77" t="str">
        <f t="shared" ref="L77" si="142">IFERROR(IF(K77*J77=0,"0",K77*J77),0)</f>
        <v>0</v>
      </c>
      <c r="M77" s="5">
        <v>0</v>
      </c>
      <c r="N77" t="str">
        <f t="shared" ref="N77" si="143">IF(M77*J77=0,"0",M77*J77)</f>
        <v>0</v>
      </c>
      <c r="O77" s="5">
        <v>1.1000000000000001</v>
      </c>
      <c r="P77" s="5">
        <v>13.793329999999999</v>
      </c>
      <c r="Q77" s="5">
        <f t="shared" ref="Q77" si="144">P77*O77</f>
        <v>15.172663</v>
      </c>
      <c r="R77" s="6">
        <f t="shared" ref="R77" si="145">IFERROR(Q77+N77+L77,"")</f>
        <v>15.172663</v>
      </c>
    </row>
    <row r="78" spans="1:18" x14ac:dyDescent="0.25">
      <c r="A78" t="s">
        <v>27</v>
      </c>
      <c r="B78" t="str">
        <f t="shared" ref="B78" si="146">IF($G77="","Hide","Show")</f>
        <v>Show</v>
      </c>
      <c r="H78" t="s">
        <v>161</v>
      </c>
    </row>
    <row r="79" spans="1:18" x14ac:dyDescent="0.25">
      <c r="A79" t="s">
        <v>27</v>
      </c>
      <c r="B79" t="str">
        <f t="shared" si="141"/>
        <v>Show</v>
      </c>
      <c r="E79" s="1"/>
      <c r="F79" t="str">
        <f>"""Ceres4"",""TCP-LIVE"",""27"",""1"",""P169998"""</f>
        <v>"Ceres4","TCP-LIVE","27","1","P169998"</v>
      </c>
      <c r="G79" t="s">
        <v>153</v>
      </c>
      <c r="H79" t="s">
        <v>162</v>
      </c>
      <c r="I79" s="5" t="s">
        <v>118</v>
      </c>
      <c r="J79" s="5">
        <v>5</v>
      </c>
      <c r="K79" s="5">
        <v>0</v>
      </c>
      <c r="L79" t="str">
        <f t="shared" ref="L79" si="147">IFERROR(IF(K79*J79=0,"0",K79*J79),0)</f>
        <v>0</v>
      </c>
      <c r="M79" s="5">
        <v>0</v>
      </c>
      <c r="N79" t="str">
        <f t="shared" ref="N79" si="148">IF(M79*J79=0,"0",M79*J79)</f>
        <v>0</v>
      </c>
      <c r="O79" s="5">
        <v>1.1000000000000001</v>
      </c>
      <c r="P79" s="5">
        <v>11.52</v>
      </c>
      <c r="Q79" s="5">
        <f t="shared" ref="Q79" si="149">P79*O79</f>
        <v>12.672000000000001</v>
      </c>
      <c r="R79" s="6">
        <f t="shared" ref="R79" si="150">IFERROR(Q79+N79+L79,"")</f>
        <v>12.672000000000001</v>
      </c>
    </row>
    <row r="80" spans="1:18" x14ac:dyDescent="0.25">
      <c r="A80" t="s">
        <v>27</v>
      </c>
      <c r="B80" t="str">
        <f t="shared" ref="B80" si="151">IF($G79="","Hide","Show")</f>
        <v>Show</v>
      </c>
      <c r="H80" t="s">
        <v>163</v>
      </c>
    </row>
    <row r="81" spans="1:18" x14ac:dyDescent="0.25">
      <c r="A81" t="s">
        <v>27</v>
      </c>
      <c r="B81" t="str">
        <f t="shared" si="141"/>
        <v>Show</v>
      </c>
      <c r="E81" s="1"/>
      <c r="F81" t="str">
        <f>"""Ceres4"",""TCP-LIVE"",""27"",""1"",""P169999"""</f>
        <v>"Ceres4","TCP-LIVE","27","1","P169999"</v>
      </c>
      <c r="G81" t="s">
        <v>154</v>
      </c>
      <c r="H81" t="s">
        <v>164</v>
      </c>
      <c r="I81" s="5" t="s">
        <v>117</v>
      </c>
      <c r="J81" s="5">
        <v>5</v>
      </c>
      <c r="K81" s="5">
        <v>0</v>
      </c>
      <c r="L81" t="str">
        <f t="shared" ref="L81" si="152">IFERROR(IF(K81*J81=0,"0",K81*J81),0)</f>
        <v>0</v>
      </c>
      <c r="M81" s="5">
        <v>0</v>
      </c>
      <c r="N81" t="str">
        <f t="shared" ref="N81" si="153">IF(M81*J81=0,"0",M81*J81)</f>
        <v>0</v>
      </c>
      <c r="O81" s="5">
        <v>1</v>
      </c>
      <c r="P81" s="5">
        <v>14.387500000000001</v>
      </c>
      <c r="Q81" s="5">
        <f t="shared" ref="Q81" si="154">P81*O81</f>
        <v>14.387500000000001</v>
      </c>
      <c r="R81" s="6">
        <f t="shared" ref="R81" si="155">IFERROR(Q81+N81+L81,"")</f>
        <v>14.387500000000001</v>
      </c>
    </row>
    <row r="82" spans="1:18" x14ac:dyDescent="0.25">
      <c r="A82" t="s">
        <v>27</v>
      </c>
      <c r="B82" t="str">
        <f t="shared" ref="B82" si="156">IF($G81="","Hide","Show")</f>
        <v>Show</v>
      </c>
      <c r="H82" t="s">
        <v>165</v>
      </c>
    </row>
    <row r="83" spans="1:18" x14ac:dyDescent="0.25">
      <c r="A83" t="s">
        <v>27</v>
      </c>
      <c r="B83" t="str">
        <f t="shared" ref="B83" si="157">IF($G77="","Hide","Show")</f>
        <v>Show</v>
      </c>
    </row>
    <row r="84" spans="1:18" ht="17.25" x14ac:dyDescent="0.3">
      <c r="A84" t="s">
        <v>27</v>
      </c>
      <c r="B84" t="str">
        <f t="shared" ref="B84" si="158">IF($G85="","Hide","Show")</f>
        <v>Show</v>
      </c>
      <c r="C84" t="str">
        <f>"""Ceres4"",""TCP-LIVE"",""14012281"",""1"",""DESSERT"""</f>
        <v>"Ceres4","TCP-LIVE","14012281","1","DESSERT"</v>
      </c>
      <c r="D84" t="s">
        <v>37</v>
      </c>
      <c r="E84" s="9" t="s">
        <v>10</v>
      </c>
      <c r="F84" s="2"/>
      <c r="G84" s="8" t="s">
        <v>155</v>
      </c>
    </row>
    <row r="85" spans="1:18" x14ac:dyDescent="0.25">
      <c r="A85" t="s">
        <v>27</v>
      </c>
      <c r="B85" t="str">
        <f t="shared" ref="B85:B87" si="159">IF($G85="","Hide","Show")</f>
        <v>Show</v>
      </c>
      <c r="E85" s="1"/>
      <c r="F85" t="s">
        <v>170</v>
      </c>
      <c r="G85" t="s">
        <v>156</v>
      </c>
      <c r="H85" t="s">
        <v>166</v>
      </c>
      <c r="I85" s="5" t="s">
        <v>86</v>
      </c>
      <c r="J85" s="5">
        <v>16</v>
      </c>
      <c r="K85" s="5">
        <v>0</v>
      </c>
      <c r="L85" t="str">
        <f t="shared" ref="L85" si="160">IFERROR(IF(K85*J85=0,"0",K85*J85),0)</f>
        <v>0</v>
      </c>
      <c r="M85" s="5">
        <v>0</v>
      </c>
      <c r="N85" t="str">
        <f t="shared" ref="N85" si="161">IF(M85*J85=0,"0",M85*J85)</f>
        <v>0</v>
      </c>
      <c r="O85" s="5">
        <v>1.2</v>
      </c>
      <c r="P85" s="5">
        <v>13.25</v>
      </c>
      <c r="Q85" s="5">
        <f t="shared" ref="Q85" si="162">P85*O85</f>
        <v>15.899999999999999</v>
      </c>
      <c r="R85" s="6">
        <f t="shared" ref="R85" si="163">IFERROR(Q85+N85+L85,"")</f>
        <v>15.899999999999999</v>
      </c>
    </row>
    <row r="86" spans="1:18" x14ac:dyDescent="0.25">
      <c r="A86" t="s">
        <v>27</v>
      </c>
      <c r="B86" t="str">
        <f t="shared" ref="B86" si="164">IF($G85="","Hide","Show")</f>
        <v>Show</v>
      </c>
      <c r="H86" t="s">
        <v>167</v>
      </c>
    </row>
    <row r="87" spans="1:18" x14ac:dyDescent="0.25">
      <c r="A87" t="s">
        <v>27</v>
      </c>
      <c r="B87" t="str">
        <f t="shared" si="159"/>
        <v>Show</v>
      </c>
      <c r="E87" s="1"/>
      <c r="F87" t="str">
        <f>"""Ceres4"",""TCP-LIVE"",""27"",""1"",""P580005"""</f>
        <v>"Ceres4","TCP-LIVE","27","1","P580005"</v>
      </c>
      <c r="G87" t="s">
        <v>157</v>
      </c>
      <c r="H87" t="s">
        <v>168</v>
      </c>
      <c r="I87" s="5" t="s">
        <v>86</v>
      </c>
      <c r="J87" s="5">
        <v>16</v>
      </c>
      <c r="K87" s="5">
        <v>0</v>
      </c>
      <c r="L87" t="str">
        <f t="shared" ref="L87" si="165">IFERROR(IF(K87*J87=0,"0",K87*J87),0)</f>
        <v>0</v>
      </c>
      <c r="M87" s="5">
        <v>0</v>
      </c>
      <c r="N87" t="str">
        <f t="shared" ref="N87" si="166">IF(M87*J87=0,"0",M87*J87)</f>
        <v>0</v>
      </c>
      <c r="O87" s="5">
        <v>1.2</v>
      </c>
      <c r="P87" s="5">
        <v>12.41</v>
      </c>
      <c r="Q87" s="5">
        <f t="shared" ref="Q87" si="167">P87*O87</f>
        <v>14.891999999999999</v>
      </c>
      <c r="R87" s="6">
        <f t="shared" ref="R87" si="168">IFERROR(Q87+N87+L87,"")</f>
        <v>14.891999999999999</v>
      </c>
    </row>
    <row r="88" spans="1:18" x14ac:dyDescent="0.25">
      <c r="A88" t="s">
        <v>27</v>
      </c>
      <c r="B88" t="str">
        <f t="shared" ref="B88" si="169">IF($G87="","Hide","Show")</f>
        <v>Show</v>
      </c>
      <c r="H88" t="s">
        <v>167</v>
      </c>
    </row>
    <row r="89" spans="1:18" x14ac:dyDescent="0.25">
      <c r="A89" t="s">
        <v>27</v>
      </c>
      <c r="B89" t="str">
        <f t="shared" ref="B89" si="170">IF($G85="","Hide","Show")</f>
        <v>Show</v>
      </c>
    </row>
    <row r="90" spans="1:18" ht="17.25" hidden="1" x14ac:dyDescent="0.3">
      <c r="A90" t="s">
        <v>27</v>
      </c>
      <c r="B90" t="str">
        <f t="shared" ref="B90" si="171">IF($G91="","Hide","Show")</f>
        <v>Hide</v>
      </c>
      <c r="C90" t="str">
        <f>"""Ceres4"",""TCP-LIVE"",""14012281"",""1"",""DRESSING"""</f>
        <v>"Ceres4","TCP-LIVE","14012281","1","DRESSING"</v>
      </c>
      <c r="D90" t="s">
        <v>38</v>
      </c>
      <c r="E90" s="9" t="s">
        <v>10</v>
      </c>
      <c r="F90" s="2"/>
      <c r="G90" s="8" t="s">
        <v>158</v>
      </c>
    </row>
    <row r="91" spans="1:18" hidden="1" x14ac:dyDescent="0.25">
      <c r="A91" t="s">
        <v>27</v>
      </c>
      <c r="B91" t="str">
        <f t="shared" ref="B91" si="172">IF($G91="","Hide","Show")</f>
        <v>Hide</v>
      </c>
      <c r="E91" s="1"/>
      <c r="F91" t="s">
        <v>28</v>
      </c>
      <c r="G91" t="s">
        <v>28</v>
      </c>
      <c r="H91" t="s">
        <v>28</v>
      </c>
      <c r="I91" s="5" t="s">
        <v>28</v>
      </c>
      <c r="J91" s="5" t="s">
        <v>28</v>
      </c>
      <c r="K91" s="5" t="s">
        <v>87</v>
      </c>
      <c r="L91">
        <f t="shared" ref="L91" si="173">IFERROR(IF(K91*J91=0,"0",K91*J91),0)</f>
        <v>0</v>
      </c>
      <c r="M91" s="5" t="s">
        <v>28</v>
      </c>
      <c r="N91" t="e">
        <f t="shared" ref="N91" si="174">IF(M91*J91=0,"0",M91*J91)</f>
        <v>#VALUE!</v>
      </c>
      <c r="O91" s="5" t="s">
        <v>28</v>
      </c>
      <c r="P91" s="5" t="s">
        <v>28</v>
      </c>
      <c r="Q91" s="5" t="e">
        <f t="shared" ref="Q91" si="175">P91*O91</f>
        <v>#VALUE!</v>
      </c>
      <c r="R91" s="6" t="str">
        <f t="shared" ref="R91" si="176">IFERROR(Q91+N91+L91,"")</f>
        <v/>
      </c>
    </row>
    <row r="92" spans="1:18" hidden="1" x14ac:dyDescent="0.25">
      <c r="A92" t="s">
        <v>27</v>
      </c>
      <c r="B92" t="str">
        <f t="shared" ref="B92" si="177">IF($G91="","Hide","Show")</f>
        <v>Hide</v>
      </c>
      <c r="H92" t="s">
        <v>28</v>
      </c>
    </row>
    <row r="93" spans="1:18" hidden="1" x14ac:dyDescent="0.25">
      <c r="A93" t="s">
        <v>27</v>
      </c>
      <c r="B93" t="str">
        <f t="shared" ref="B93" si="178">IF($G91="","Hide","Show")</f>
        <v>Hide</v>
      </c>
    </row>
    <row r="94" spans="1:18" ht="17.25" x14ac:dyDescent="0.3">
      <c r="A94" t="s">
        <v>27</v>
      </c>
      <c r="B94" t="str">
        <f t="shared" ref="B94" si="179">IF($G95="","Hide","Show")</f>
        <v>Show</v>
      </c>
      <c r="C94" t="str">
        <f>"""Ceres4"",""TCP-LIVE"",""14012281"",""1"",""ENTREE"""</f>
        <v>"Ceres4","TCP-LIVE","14012281","1","ENTREE"</v>
      </c>
      <c r="D94" t="s">
        <v>39</v>
      </c>
      <c r="E94" s="9" t="s">
        <v>10</v>
      </c>
      <c r="F94" s="2"/>
      <c r="G94" s="8" t="s">
        <v>159</v>
      </c>
    </row>
    <row r="95" spans="1:18" x14ac:dyDescent="0.25">
      <c r="A95" t="s">
        <v>27</v>
      </c>
      <c r="B95" t="str">
        <f t="shared" ref="B95:B103" si="180">IF($G95="","Hide","Show")</f>
        <v>Show</v>
      </c>
      <c r="E95" s="1"/>
      <c r="F95" t="s">
        <v>169</v>
      </c>
      <c r="G95" t="str">
        <f>"250043"</f>
        <v>250043</v>
      </c>
      <c r="H95" t="str">
        <f>"Entree- Cheese sauce"</f>
        <v>Entree- Cheese sauce</v>
      </c>
      <c r="I95" s="5" t="str">
        <f>"CS"</f>
        <v>CS</v>
      </c>
      <c r="J95" s="5">
        <v>22</v>
      </c>
      <c r="K95" s="5">
        <v>0.19</v>
      </c>
      <c r="L95">
        <f t="shared" ref="L95" si="181">IFERROR(IF(K95*J95=0,"0",K95*J95),0)</f>
        <v>4.18</v>
      </c>
      <c r="M95" s="5">
        <v>0</v>
      </c>
      <c r="N95" t="str">
        <f t="shared" ref="N95" si="182">IF(M95*J95=0,"0",M95*J95)</f>
        <v>0</v>
      </c>
      <c r="O95" s="5">
        <v>1</v>
      </c>
      <c r="P95" s="5">
        <v>0</v>
      </c>
      <c r="Q95" s="5">
        <f t="shared" ref="Q95" si="183">P95*O95</f>
        <v>0</v>
      </c>
      <c r="R95" s="6">
        <f t="shared" ref="R95" si="184">IFERROR(Q95+N95+L95,"")</f>
        <v>4.18</v>
      </c>
    </row>
    <row r="96" spans="1:18" x14ac:dyDescent="0.25">
      <c r="A96" t="s">
        <v>27</v>
      </c>
      <c r="B96" t="str">
        <f t="shared" ref="B96" si="185">IF($G95="","Hide","Show")</f>
        <v>Show</v>
      </c>
      <c r="H96" t="str">
        <f>"4-5 lb"</f>
        <v>4-5 lb</v>
      </c>
    </row>
    <row r="97" spans="1:18" x14ac:dyDescent="0.25">
      <c r="A97" t="s">
        <v>27</v>
      </c>
      <c r="B97" t="str">
        <f t="shared" si="180"/>
        <v>Show</v>
      </c>
      <c r="E97" s="1"/>
      <c r="F97" t="str">
        <f>"""Ceres4"",""TCP-LIVE"",""27"",""1"",""P250011"""</f>
        <v>"Ceres4","TCP-LIVE","27","1","P250011"</v>
      </c>
      <c r="G97" t="str">
        <f>"P250011"</f>
        <v>P250011</v>
      </c>
      <c r="H97" t="str">
        <f>"Entree - Stuffed Jalapeno Poppers"</f>
        <v>Entree - Stuffed Jalapeno Poppers</v>
      </c>
      <c r="I97" s="5" t="str">
        <f>"CS"</f>
        <v>CS</v>
      </c>
      <c r="J97" s="5">
        <v>3</v>
      </c>
      <c r="K97" s="5">
        <v>0</v>
      </c>
      <c r="L97" t="str">
        <f t="shared" ref="L97" si="186">IFERROR(IF(K97*J97=0,"0",K97*J97),0)</f>
        <v>0</v>
      </c>
      <c r="M97" s="5">
        <v>0</v>
      </c>
      <c r="N97" t="str">
        <f t="shared" ref="N97" si="187">IF(M97*J97=0,"0",M97*J97)</f>
        <v>0</v>
      </c>
      <c r="O97" s="5">
        <v>1.1000000000000001</v>
      </c>
      <c r="P97" s="5">
        <v>15.4925</v>
      </c>
      <c r="Q97" s="5">
        <f t="shared" ref="Q97" si="188">P97*O97</f>
        <v>17.04175</v>
      </c>
      <c r="R97" s="6">
        <f t="shared" ref="R97" si="189">IFERROR(Q97+N97+L97,"")</f>
        <v>17.04175</v>
      </c>
    </row>
    <row r="98" spans="1:18" x14ac:dyDescent="0.25">
      <c r="A98" t="s">
        <v>27</v>
      </c>
      <c r="B98" t="str">
        <f t="shared" ref="B98" si="190">IF($G97="","Hide","Show")</f>
        <v>Show</v>
      </c>
      <c r="H98" t="str">
        <f>"1-3 lb bag"</f>
        <v>1-3 lb bag</v>
      </c>
    </row>
    <row r="99" spans="1:18" x14ac:dyDescent="0.25">
      <c r="A99" t="s">
        <v>27</v>
      </c>
      <c r="B99" t="str">
        <f t="shared" si="180"/>
        <v>Show</v>
      </c>
      <c r="E99" s="1"/>
      <c r="F99" t="str">
        <f>"""Ceres4"",""TCP-LIVE"",""27"",""1"",""P250015"""</f>
        <v>"Ceres4","TCP-LIVE","27","1","P250015"</v>
      </c>
      <c r="G99" t="str">
        <f>"P250015"</f>
        <v>P250015</v>
      </c>
      <c r="H99" t="str">
        <f>"Entree-Beef Stew"</f>
        <v>Entree-Beef Stew</v>
      </c>
      <c r="I99" s="5" t="str">
        <f>"CS"</f>
        <v>CS</v>
      </c>
      <c r="J99" s="5">
        <v>28</v>
      </c>
      <c r="K99" s="5">
        <v>0</v>
      </c>
      <c r="L99" t="str">
        <f t="shared" ref="L99" si="191">IFERROR(IF(K99*J99=0,"0",K99*J99),0)</f>
        <v>0</v>
      </c>
      <c r="M99" s="5">
        <v>0</v>
      </c>
      <c r="N99" t="str">
        <f t="shared" ref="N99" si="192">IF(M99*J99=0,"0",M99*J99)</f>
        <v>0</v>
      </c>
      <c r="O99" s="5">
        <v>1.2</v>
      </c>
      <c r="P99" s="5">
        <v>20.51</v>
      </c>
      <c r="Q99" s="5">
        <f t="shared" ref="Q99" si="193">P99*O99</f>
        <v>24.612000000000002</v>
      </c>
      <c r="R99" s="6">
        <f t="shared" ref="R99" si="194">IFERROR(Q99+N99+L99,"")</f>
        <v>24.612000000000002</v>
      </c>
    </row>
    <row r="100" spans="1:18" x14ac:dyDescent="0.25">
      <c r="A100" t="s">
        <v>27</v>
      </c>
      <c r="B100" t="str">
        <f t="shared" ref="B100" si="195">IF($G99="","Hide","Show")</f>
        <v>Show</v>
      </c>
      <c r="H100" t="str">
        <f>"24-15 oz"</f>
        <v>24-15 oz</v>
      </c>
    </row>
    <row r="101" spans="1:18" x14ac:dyDescent="0.25">
      <c r="A101" t="s">
        <v>27</v>
      </c>
      <c r="B101" t="str">
        <f t="shared" si="180"/>
        <v>Show</v>
      </c>
      <c r="E101" s="1"/>
      <c r="F101" t="str">
        <f>"""Ceres4"",""TCP-LIVE"",""27"",""1"",""P250072"""</f>
        <v>"Ceres4","TCP-LIVE","27","1","P250072"</v>
      </c>
      <c r="G101" t="str">
        <f>"P250072"</f>
        <v>P250072</v>
      </c>
      <c r="H101" t="str">
        <f>"Entree - Chimichangas - Steak and Cheese"</f>
        <v>Entree - Chimichangas - Steak and Cheese</v>
      </c>
      <c r="I101" s="5" t="str">
        <f>"CS"</f>
        <v>CS</v>
      </c>
      <c r="J101" s="5">
        <v>15</v>
      </c>
      <c r="K101" s="5">
        <v>0</v>
      </c>
      <c r="L101" t="str">
        <f t="shared" ref="L101" si="196">IFERROR(IF(K101*J101=0,"0",K101*J101),0)</f>
        <v>0</v>
      </c>
      <c r="M101" s="5">
        <v>0</v>
      </c>
      <c r="N101" t="str">
        <f t="shared" ref="N101" si="197">IF(M101*J101=0,"0",M101*J101)</f>
        <v>0</v>
      </c>
      <c r="O101" s="5">
        <v>1.1000000000000001</v>
      </c>
      <c r="P101" s="5">
        <v>12.3</v>
      </c>
      <c r="Q101" s="5">
        <f t="shared" ref="Q101" si="198">P101*O101</f>
        <v>13.530000000000001</v>
      </c>
      <c r="R101" s="6">
        <f t="shared" ref="R101" si="199">IFERROR(Q101+N101+L101,"")</f>
        <v>13.530000000000001</v>
      </c>
    </row>
    <row r="102" spans="1:18" x14ac:dyDescent="0.25">
      <c r="A102" t="s">
        <v>27</v>
      </c>
      <c r="B102" t="str">
        <f t="shared" ref="B102" si="200">IF($G101="","Hide","Show")</f>
        <v>Show</v>
      </c>
      <c r="H102" t="str">
        <f>"48-5 oz"</f>
        <v>48-5 oz</v>
      </c>
    </row>
    <row r="103" spans="1:18" x14ac:dyDescent="0.25">
      <c r="A103" t="s">
        <v>27</v>
      </c>
      <c r="B103" t="str">
        <f t="shared" si="180"/>
        <v>Show</v>
      </c>
      <c r="E103" s="1"/>
      <c r="F103" t="str">
        <f>"""Ceres4"",""TCP-LIVE"",""27"",""1"",""P269991"""</f>
        <v>"Ceres4","TCP-LIVE","27","1","P269991"</v>
      </c>
      <c r="G103" t="str">
        <f>"P269991"</f>
        <v>P269991</v>
      </c>
      <c r="H103" t="str">
        <f>"Entree - PB and J Sandwich"</f>
        <v>Entree - PB and J Sandwich</v>
      </c>
      <c r="I103" s="5" t="str">
        <f>"BOX"</f>
        <v>BOX</v>
      </c>
      <c r="J103" s="5">
        <v>14</v>
      </c>
      <c r="K103" s="5">
        <v>0</v>
      </c>
      <c r="L103" t="str">
        <f t="shared" ref="L103" si="201">IFERROR(IF(K103*J103=0,"0",K103*J103),0)</f>
        <v>0</v>
      </c>
      <c r="M103" s="5">
        <v>0</v>
      </c>
      <c r="N103" t="str">
        <f t="shared" ref="N103" si="202">IF(M103*J103=0,"0",M103*J103)</f>
        <v>0</v>
      </c>
      <c r="O103" s="5">
        <v>1.2</v>
      </c>
      <c r="P103" s="5">
        <v>39.870000000000005</v>
      </c>
      <c r="Q103" s="5">
        <f t="shared" ref="Q103" si="203">P103*O103</f>
        <v>47.844000000000001</v>
      </c>
      <c r="R103" s="6">
        <f t="shared" ref="R103" si="204">IFERROR(Q103+N103+L103,"")</f>
        <v>47.844000000000001</v>
      </c>
    </row>
    <row r="104" spans="1:18" x14ac:dyDescent="0.25">
      <c r="A104" t="s">
        <v>27</v>
      </c>
      <c r="B104" t="str">
        <f t="shared" ref="B104" si="205">IF($G103="","Hide","Show")</f>
        <v>Show</v>
      </c>
      <c r="H104" t="str">
        <f>"72-3 oz"</f>
        <v>72-3 oz</v>
      </c>
    </row>
    <row r="105" spans="1:18" x14ac:dyDescent="0.25">
      <c r="A105" t="s">
        <v>27</v>
      </c>
      <c r="B105" t="str">
        <f t="shared" ref="B105" si="206">IF($G95="","Hide","Show")</f>
        <v>Show</v>
      </c>
    </row>
    <row r="106" spans="1:18" ht="17.25" x14ac:dyDescent="0.3">
      <c r="A106" t="s">
        <v>27</v>
      </c>
      <c r="B106" t="str">
        <f t="shared" ref="B106" si="207">IF($G107="","Hide","Show")</f>
        <v>Show</v>
      </c>
      <c r="C106" t="str">
        <f>"""Ceres4"",""TCP-LIVE"",""14012281"",""1"",""FRUIT/ VEG"""</f>
        <v>"Ceres4","TCP-LIVE","14012281","1","FRUIT/ VEG"</v>
      </c>
      <c r="D106" t="s">
        <v>40</v>
      </c>
      <c r="E106" s="9" t="s">
        <v>10</v>
      </c>
      <c r="F106" s="2"/>
      <c r="G106" s="8" t="s">
        <v>149</v>
      </c>
    </row>
    <row r="107" spans="1:18" x14ac:dyDescent="0.25">
      <c r="A107" t="s">
        <v>27</v>
      </c>
      <c r="B107" t="str">
        <f t="shared" ref="B107:B125" si="208">IF($G107="","Hide","Show")</f>
        <v>Show</v>
      </c>
      <c r="E107" s="1"/>
      <c r="F107" t="s">
        <v>150</v>
      </c>
      <c r="G107" t="str">
        <f>"P300000"</f>
        <v>P300000</v>
      </c>
      <c r="H107" t="str">
        <f>"Fruit-Applesauce"</f>
        <v>Fruit-Applesauce</v>
      </c>
      <c r="I107" s="5" t="str">
        <f>"CS"</f>
        <v>CS</v>
      </c>
      <c r="J107" s="5">
        <v>12</v>
      </c>
      <c r="K107" s="5">
        <v>0</v>
      </c>
      <c r="L107" t="str">
        <f t="shared" ref="L107" si="209">IFERROR(IF(K107*J107=0,"0",K107*J107),0)</f>
        <v>0</v>
      </c>
      <c r="M107" s="5">
        <v>0</v>
      </c>
      <c r="N107" t="str">
        <f t="shared" ref="N107" si="210">IF(M107*J107=0,"0",M107*J107)</f>
        <v>0</v>
      </c>
      <c r="O107" s="5">
        <v>1.2</v>
      </c>
      <c r="P107" s="5">
        <v>10.73</v>
      </c>
      <c r="Q107" s="5">
        <f t="shared" ref="Q107" si="211">P107*O107</f>
        <v>12.875999999999999</v>
      </c>
      <c r="R107" s="6">
        <f t="shared" ref="R107" si="212">IFERROR(Q107+N107+L107,"")</f>
        <v>12.875999999999999</v>
      </c>
    </row>
    <row r="108" spans="1:18" x14ac:dyDescent="0.25">
      <c r="A108" t="s">
        <v>27</v>
      </c>
      <c r="B108" t="str">
        <f t="shared" ref="B108" si="213">IF($G107="","Hide","Show")</f>
        <v>Show</v>
      </c>
      <c r="H108" t="str">
        <f>"12/4-4 oz"</f>
        <v>12/4-4 oz</v>
      </c>
    </row>
    <row r="109" spans="1:18" x14ac:dyDescent="0.25">
      <c r="A109" t="s">
        <v>27</v>
      </c>
      <c r="B109" t="str">
        <f t="shared" si="208"/>
        <v>Show</v>
      </c>
      <c r="E109" s="1"/>
      <c r="F109" t="str">
        <f>"""Ceres4"",""TCP-LIVE"",""27"",""1"",""P300002"""</f>
        <v>"Ceres4","TCP-LIVE","27","1","P300002"</v>
      </c>
      <c r="G109" t="str">
        <f>"P300002"</f>
        <v>P300002</v>
      </c>
      <c r="H109" t="str">
        <f>"Vegetable - Olives"</f>
        <v>Vegetable - Olives</v>
      </c>
      <c r="I109" s="5" t="str">
        <f>"EA"</f>
        <v>EA</v>
      </c>
      <c r="J109" s="5">
        <v>1</v>
      </c>
      <c r="K109" s="5">
        <v>0</v>
      </c>
      <c r="L109" t="str">
        <f t="shared" ref="L109" si="214">IFERROR(IF(K109*J109=0,"0",K109*J109),0)</f>
        <v>0</v>
      </c>
      <c r="M109" s="5">
        <v>0</v>
      </c>
      <c r="N109" t="str">
        <f t="shared" ref="N109" si="215">IF(M109*J109=0,"0",M109*J109)</f>
        <v>0</v>
      </c>
      <c r="O109" s="5">
        <v>1.2</v>
      </c>
      <c r="P109" s="5">
        <v>1.0900000000000001</v>
      </c>
      <c r="Q109" s="5">
        <f t="shared" ref="Q109" si="216">P109*O109</f>
        <v>1.3080000000000001</v>
      </c>
      <c r="R109" s="6">
        <f t="shared" ref="R109" si="217">IFERROR(Q109+N109+L109,"")</f>
        <v>1.3080000000000001</v>
      </c>
    </row>
    <row r="110" spans="1:18" x14ac:dyDescent="0.25">
      <c r="A110" t="s">
        <v>27</v>
      </c>
      <c r="B110" t="str">
        <f t="shared" ref="B110" si="218">IF($G109="","Hide","Show")</f>
        <v>Show</v>
      </c>
      <c r="H110" t="str">
        <f>"1- 16 oz"</f>
        <v>1- 16 oz</v>
      </c>
    </row>
    <row r="111" spans="1:18" x14ac:dyDescent="0.25">
      <c r="A111" t="s">
        <v>27</v>
      </c>
      <c r="B111" t="str">
        <f t="shared" si="208"/>
        <v>Show</v>
      </c>
      <c r="E111" s="1"/>
      <c r="F111" t="str">
        <f>"""Ceres4"",""TCP-LIVE"",""27"",""1"",""P300005"""</f>
        <v>"Ceres4","TCP-LIVE","27","1","P300005"</v>
      </c>
      <c r="G111" t="str">
        <f>"P300005"</f>
        <v>P300005</v>
      </c>
      <c r="H111" t="str">
        <f>"Vegetable-Canned Green Beans"</f>
        <v>Vegetable-Canned Green Beans</v>
      </c>
      <c r="I111" s="5" t="str">
        <f>"CS"</f>
        <v>CS</v>
      </c>
      <c r="J111" s="5">
        <v>28</v>
      </c>
      <c r="K111" s="5">
        <v>0</v>
      </c>
      <c r="L111" t="str">
        <f t="shared" ref="L111" si="219">IFERROR(IF(K111*J111=0,"0",K111*J111),0)</f>
        <v>0</v>
      </c>
      <c r="M111" s="5">
        <v>0</v>
      </c>
      <c r="N111" t="str">
        <f t="shared" ref="N111" si="220">IF(M111*J111=0,"0",M111*J111)</f>
        <v>0</v>
      </c>
      <c r="O111" s="5">
        <v>1.2</v>
      </c>
      <c r="P111" s="5">
        <v>11.87</v>
      </c>
      <c r="Q111" s="5">
        <f t="shared" ref="Q111" si="221">P111*O111</f>
        <v>14.243999999999998</v>
      </c>
      <c r="R111" s="6">
        <f t="shared" ref="R111" si="222">IFERROR(Q111+N111+L111,"")</f>
        <v>14.243999999999998</v>
      </c>
    </row>
    <row r="112" spans="1:18" x14ac:dyDescent="0.25">
      <c r="A112" t="s">
        <v>27</v>
      </c>
      <c r="B112" t="str">
        <f t="shared" ref="B112" si="223">IF($G111="","Hide","Show")</f>
        <v>Show</v>
      </c>
      <c r="H112" t="str">
        <f>"24-15 oz"</f>
        <v>24-15 oz</v>
      </c>
    </row>
    <row r="113" spans="1:18" x14ac:dyDescent="0.25">
      <c r="A113" t="s">
        <v>27</v>
      </c>
      <c r="B113" t="str">
        <f t="shared" si="208"/>
        <v>Show</v>
      </c>
      <c r="E113" s="1"/>
      <c r="F113" t="str">
        <f>"""Ceres4"",""TCP-LIVE"",""27"",""1"",""P300012"""</f>
        <v>"Ceres4","TCP-LIVE","27","1","P300012"</v>
      </c>
      <c r="G113" t="str">
        <f>"P300012"</f>
        <v>P300012</v>
      </c>
      <c r="H113" t="str">
        <f>"Fruit- Canned Fruit Cocktail"</f>
        <v>Fruit- Canned Fruit Cocktail</v>
      </c>
      <c r="I113" s="5" t="str">
        <f>"CS"</f>
        <v>CS</v>
      </c>
      <c r="J113" s="5">
        <v>28</v>
      </c>
      <c r="K113" s="5">
        <v>0</v>
      </c>
      <c r="L113" t="str">
        <f t="shared" ref="L113" si="224">IFERROR(IF(K113*J113=0,"0",K113*J113),0)</f>
        <v>0</v>
      </c>
      <c r="M113" s="5">
        <v>0</v>
      </c>
      <c r="N113" t="str">
        <f t="shared" ref="N113" si="225">IF(M113*J113=0,"0",M113*J113)</f>
        <v>0</v>
      </c>
      <c r="O113" s="5">
        <v>1.2</v>
      </c>
      <c r="P113" s="5">
        <v>16.670000000000002</v>
      </c>
      <c r="Q113" s="5">
        <f t="shared" ref="Q113" si="226">P113*O113</f>
        <v>20.004000000000001</v>
      </c>
      <c r="R113" s="6">
        <f t="shared" ref="R113" si="227">IFERROR(Q113+N113+L113,"")</f>
        <v>20.004000000000001</v>
      </c>
    </row>
    <row r="114" spans="1:18" x14ac:dyDescent="0.25">
      <c r="A114" t="s">
        <v>27</v>
      </c>
      <c r="B114" t="str">
        <f t="shared" ref="B114" si="228">IF($G113="","Hide","Show")</f>
        <v>Show</v>
      </c>
      <c r="H114" t="str">
        <f>"24-15 oz"</f>
        <v>24-15 oz</v>
      </c>
    </row>
    <row r="115" spans="1:18" x14ac:dyDescent="0.25">
      <c r="A115" t="s">
        <v>27</v>
      </c>
      <c r="B115" t="str">
        <f t="shared" si="208"/>
        <v>Show</v>
      </c>
      <c r="E115" s="1"/>
      <c r="F115" t="str">
        <f>"""Ceres4"",""TCP-LIVE"",""27"",""1"",""P300020"""</f>
        <v>"Ceres4","TCP-LIVE","27","1","P300020"</v>
      </c>
      <c r="G115" t="str">
        <f>"P300020"</f>
        <v>P300020</v>
      </c>
      <c r="H115" t="str">
        <f>"Vegetable-Canned Peas"</f>
        <v>Vegetable-Canned Peas</v>
      </c>
      <c r="I115" s="5" t="str">
        <f>"CS"</f>
        <v>CS</v>
      </c>
      <c r="J115" s="5">
        <v>28</v>
      </c>
      <c r="K115" s="5">
        <v>0</v>
      </c>
      <c r="L115" t="str">
        <f t="shared" ref="L115" si="229">IFERROR(IF(K115*J115=0,"0",K115*J115),0)</f>
        <v>0</v>
      </c>
      <c r="M115" s="5">
        <v>0</v>
      </c>
      <c r="N115" t="str">
        <f t="shared" ref="N115" si="230">IF(M115*J115=0,"0",M115*J115)</f>
        <v>0</v>
      </c>
      <c r="O115" s="5">
        <v>1.2</v>
      </c>
      <c r="P115" s="5">
        <v>8.51</v>
      </c>
      <c r="Q115" s="5">
        <f t="shared" ref="Q115" si="231">P115*O115</f>
        <v>10.212</v>
      </c>
      <c r="R115" s="6">
        <f t="shared" ref="R115" si="232">IFERROR(Q115+N115+L115,"")</f>
        <v>10.212</v>
      </c>
    </row>
    <row r="116" spans="1:18" x14ac:dyDescent="0.25">
      <c r="A116" t="s">
        <v>27</v>
      </c>
      <c r="B116" t="str">
        <f t="shared" ref="B116" si="233">IF($G115="","Hide","Show")</f>
        <v>Show</v>
      </c>
      <c r="H116" t="str">
        <f>"24-15 oz"</f>
        <v>24-15 oz</v>
      </c>
    </row>
    <row r="117" spans="1:18" x14ac:dyDescent="0.25">
      <c r="A117" t="s">
        <v>27</v>
      </c>
      <c r="B117" t="str">
        <f t="shared" si="208"/>
        <v>Show</v>
      </c>
      <c r="E117" s="1"/>
      <c r="F117" t="str">
        <f>"""Ceres4"",""TCP-LIVE"",""27"",""1"",""P300023"""</f>
        <v>"Ceres4","TCP-LIVE","27","1","P300023"</v>
      </c>
      <c r="G117" t="str">
        <f>"P300023"</f>
        <v>P300023</v>
      </c>
      <c r="H117" t="str">
        <f>"Vegetable- Whole Potatoes"</f>
        <v>Vegetable- Whole Potatoes</v>
      </c>
      <c r="I117" s="5" t="str">
        <f>"CS"</f>
        <v>CS</v>
      </c>
      <c r="J117" s="5">
        <v>27</v>
      </c>
      <c r="K117" s="5">
        <v>0</v>
      </c>
      <c r="L117" t="str">
        <f t="shared" ref="L117" si="234">IFERROR(IF(K117*J117=0,"0",K117*J117),0)</f>
        <v>0</v>
      </c>
      <c r="M117" s="5">
        <v>0</v>
      </c>
      <c r="N117" t="str">
        <f t="shared" ref="N117" si="235">IF(M117*J117=0,"0",M117*J117)</f>
        <v>0</v>
      </c>
      <c r="O117" s="5">
        <v>1.2</v>
      </c>
      <c r="P117" s="5">
        <v>12.59</v>
      </c>
      <c r="Q117" s="5">
        <f t="shared" ref="Q117" si="236">P117*O117</f>
        <v>15.107999999999999</v>
      </c>
      <c r="R117" s="6">
        <f t="shared" ref="R117" si="237">IFERROR(Q117+N117+L117,"")</f>
        <v>15.107999999999999</v>
      </c>
    </row>
    <row r="118" spans="1:18" x14ac:dyDescent="0.25">
      <c r="A118" t="s">
        <v>27</v>
      </c>
      <c r="B118" t="str">
        <f t="shared" ref="B118" si="238">IF($G117="","Hide","Show")</f>
        <v>Show</v>
      </c>
      <c r="H118" t="str">
        <f>"24-15 oz"</f>
        <v>24-15 oz</v>
      </c>
    </row>
    <row r="119" spans="1:18" x14ac:dyDescent="0.25">
      <c r="A119" t="s">
        <v>27</v>
      </c>
      <c r="B119" t="str">
        <f t="shared" si="208"/>
        <v>Show</v>
      </c>
      <c r="E119" s="1"/>
      <c r="F119" t="str">
        <f>"""Ceres4"",""TCP-LIVE"",""27"",""1"",""P300025"""</f>
        <v>"Ceres4","TCP-LIVE","27","1","P300025"</v>
      </c>
      <c r="G119" t="str">
        <f>"P300025"</f>
        <v>P300025</v>
      </c>
      <c r="H119" t="str">
        <f>"Vegetable-Canned Tomato Sauce"</f>
        <v>Vegetable-Canned Tomato Sauce</v>
      </c>
      <c r="I119" s="5" t="str">
        <f>"CS"</f>
        <v>CS</v>
      </c>
      <c r="J119" s="5">
        <v>29</v>
      </c>
      <c r="K119" s="5">
        <v>0</v>
      </c>
      <c r="L119" t="str">
        <f t="shared" ref="L119" si="239">IFERROR(IF(K119*J119=0,"0",K119*J119),0)</f>
        <v>0</v>
      </c>
      <c r="M119" s="5">
        <v>0</v>
      </c>
      <c r="N119" t="str">
        <f t="shared" ref="N119" si="240">IF(M119*J119=0,"0",M119*J119)</f>
        <v>0</v>
      </c>
      <c r="O119" s="5">
        <v>1.2</v>
      </c>
      <c r="P119" s="5">
        <v>14.15</v>
      </c>
      <c r="Q119" s="5">
        <f t="shared" ref="Q119" si="241">P119*O119</f>
        <v>16.98</v>
      </c>
      <c r="R119" s="6">
        <f t="shared" ref="R119" si="242">IFERROR(Q119+N119+L119,"")</f>
        <v>16.98</v>
      </c>
    </row>
    <row r="120" spans="1:18" x14ac:dyDescent="0.25">
      <c r="A120" t="s">
        <v>27</v>
      </c>
      <c r="B120" t="str">
        <f t="shared" ref="B120" si="243">IF($G119="","Hide","Show")</f>
        <v>Show</v>
      </c>
      <c r="H120" t="str">
        <f>"48- 8 oz"</f>
        <v>48- 8 oz</v>
      </c>
    </row>
    <row r="121" spans="1:18" x14ac:dyDescent="0.25">
      <c r="A121" t="s">
        <v>27</v>
      </c>
      <c r="B121" t="str">
        <f t="shared" si="208"/>
        <v>Show</v>
      </c>
      <c r="E121" s="1"/>
      <c r="F121" t="str">
        <f>"""Ceres4"",""TCP-LIVE"",""27"",""1"",""P300030"""</f>
        <v>"Ceres4","TCP-LIVE","27","1","P300030"</v>
      </c>
      <c r="G121" t="str">
        <f>"P300030"</f>
        <v>P300030</v>
      </c>
      <c r="H121" t="str">
        <f>"Fruit - Sliced Peaches"</f>
        <v>Fruit - Sliced Peaches</v>
      </c>
      <c r="I121" s="5" t="str">
        <f>"CS"</f>
        <v>CS</v>
      </c>
      <c r="J121" s="5">
        <v>23</v>
      </c>
      <c r="K121" s="5">
        <v>0</v>
      </c>
      <c r="L121" t="str">
        <f t="shared" ref="L121" si="244">IFERROR(IF(K121*J121=0,"0",K121*J121),0)</f>
        <v>0</v>
      </c>
      <c r="M121" s="5">
        <v>0</v>
      </c>
      <c r="N121" t="str">
        <f t="shared" ref="N121" si="245">IF(M121*J121=0,"0",M121*J121)</f>
        <v>0</v>
      </c>
      <c r="O121" s="5">
        <v>1.2</v>
      </c>
      <c r="P121" s="5">
        <v>17.39</v>
      </c>
      <c r="Q121" s="5">
        <f t="shared" ref="Q121" si="246">P121*O121</f>
        <v>20.867999999999999</v>
      </c>
      <c r="R121" s="6">
        <f t="shared" ref="R121" si="247">IFERROR(Q121+N121+L121,"")</f>
        <v>20.867999999999999</v>
      </c>
    </row>
    <row r="122" spans="1:18" x14ac:dyDescent="0.25">
      <c r="A122" t="s">
        <v>27</v>
      </c>
      <c r="B122" t="str">
        <f t="shared" ref="B122" si="248">IF($G121="","Hide","Show")</f>
        <v>Show</v>
      </c>
      <c r="H122" t="str">
        <f>"24-15 oz"</f>
        <v>24-15 oz</v>
      </c>
    </row>
    <row r="123" spans="1:18" x14ac:dyDescent="0.25">
      <c r="A123" t="s">
        <v>27</v>
      </c>
      <c r="B123" t="str">
        <f t="shared" si="208"/>
        <v>Show</v>
      </c>
      <c r="E123" s="1"/>
      <c r="F123" t="str">
        <f>"""Ceres4"",""TCP-LIVE"",""27"",""1"",""P300037"""</f>
        <v>"Ceres4","TCP-LIVE","27","1","P300037"</v>
      </c>
      <c r="G123" t="str">
        <f>"P300037"</f>
        <v>P300037</v>
      </c>
      <c r="H123" t="str">
        <f>"Fruit - Sliced Pears"</f>
        <v>Fruit - Sliced Pears</v>
      </c>
      <c r="I123" s="5" t="str">
        <f>"CS"</f>
        <v>CS</v>
      </c>
      <c r="J123" s="5">
        <v>26</v>
      </c>
      <c r="K123" s="5">
        <v>0</v>
      </c>
      <c r="L123" t="str">
        <f t="shared" ref="L123" si="249">IFERROR(IF(K123*J123=0,"0",K123*J123),0)</f>
        <v>0</v>
      </c>
      <c r="M123" s="5">
        <v>0</v>
      </c>
      <c r="N123" t="str">
        <f t="shared" ref="N123" si="250">IF(M123*J123=0,"0",M123*J123)</f>
        <v>0</v>
      </c>
      <c r="O123" s="5">
        <v>1.1499999999999999</v>
      </c>
      <c r="P123" s="5">
        <v>17.38</v>
      </c>
      <c r="Q123" s="5">
        <f t="shared" ref="Q123" si="251">P123*O123</f>
        <v>19.986999999999998</v>
      </c>
      <c r="R123" s="6">
        <f t="shared" ref="R123" si="252">IFERROR(Q123+N123+L123,"")</f>
        <v>19.986999999999998</v>
      </c>
    </row>
    <row r="124" spans="1:18" x14ac:dyDescent="0.25">
      <c r="A124" t="s">
        <v>27</v>
      </c>
      <c r="B124" t="str">
        <f t="shared" ref="B124" si="253">IF($G123="","Hide","Show")</f>
        <v>Show</v>
      </c>
      <c r="H124" t="str">
        <f>"24-15 oz"</f>
        <v>24-15 oz</v>
      </c>
    </row>
    <row r="125" spans="1:18" x14ac:dyDescent="0.25">
      <c r="A125" t="s">
        <v>27</v>
      </c>
      <c r="B125" t="str">
        <f t="shared" si="208"/>
        <v>Show</v>
      </c>
      <c r="E125" s="1"/>
      <c r="F125" t="str">
        <f>"""Ceres4"",""TCP-LIVE"",""27"",""1"",""P319989"""</f>
        <v>"Ceres4","TCP-LIVE","27","1","P319989"</v>
      </c>
      <c r="G125" t="str">
        <f>"P319989"</f>
        <v>P319989</v>
      </c>
      <c r="H125" t="str">
        <f>"Vegetable- Crushed Tomatoes"</f>
        <v>Vegetable- Crushed Tomatoes</v>
      </c>
      <c r="I125" s="5" t="str">
        <f>"CS"</f>
        <v>CS</v>
      </c>
      <c r="J125" s="5">
        <v>23</v>
      </c>
      <c r="K125" s="5">
        <v>0</v>
      </c>
      <c r="L125" t="str">
        <f t="shared" ref="L125" si="254">IFERROR(IF(K125*J125=0,"0",K125*J125),0)</f>
        <v>0</v>
      </c>
      <c r="M125" s="5">
        <v>0</v>
      </c>
      <c r="N125" t="str">
        <f t="shared" ref="N125" si="255">IF(M125*J125=0,"0",M125*J125)</f>
        <v>0</v>
      </c>
      <c r="O125" s="5">
        <v>1.2</v>
      </c>
      <c r="P125" s="5">
        <v>13.07</v>
      </c>
      <c r="Q125" s="5">
        <f t="shared" ref="Q125" si="256">P125*O125</f>
        <v>15.683999999999999</v>
      </c>
      <c r="R125" s="6">
        <f t="shared" ref="R125" si="257">IFERROR(Q125+N125+L125,"")</f>
        <v>15.683999999999999</v>
      </c>
    </row>
    <row r="126" spans="1:18" x14ac:dyDescent="0.25">
      <c r="A126" t="s">
        <v>27</v>
      </c>
      <c r="B126" t="str">
        <f t="shared" ref="B126" si="258">IF($G125="","Hide","Show")</f>
        <v>Show</v>
      </c>
      <c r="H126" t="str">
        <f>"24-15 oz"</f>
        <v>24-15 oz</v>
      </c>
    </row>
    <row r="127" spans="1:18" x14ac:dyDescent="0.25">
      <c r="A127" t="s">
        <v>27</v>
      </c>
      <c r="B127" t="str">
        <f t="shared" ref="B127" si="259">IF($G107="","Hide","Show")</f>
        <v>Show</v>
      </c>
    </row>
    <row r="128" spans="1:18" ht="17.25" hidden="1" x14ac:dyDescent="0.3">
      <c r="A128" t="s">
        <v>27</v>
      </c>
      <c r="B128" t="str">
        <f t="shared" ref="B128" si="260">IF($G129="","Hide","Show")</f>
        <v>Hide</v>
      </c>
      <c r="C128" t="str">
        <f>"""Ceres4"",""TCP-LIVE"",""14012281"",""1"",""GRAIN"""</f>
        <v>"Ceres4","TCP-LIVE","14012281","1","GRAIN"</v>
      </c>
      <c r="D128" t="s">
        <v>41</v>
      </c>
      <c r="E128" s="9" t="s">
        <v>10</v>
      </c>
      <c r="F128" s="2"/>
      <c r="G128" s="8" t="s">
        <v>89</v>
      </c>
    </row>
    <row r="129" spans="1:18" hidden="1" x14ac:dyDescent="0.25">
      <c r="A129" t="s">
        <v>27</v>
      </c>
      <c r="B129" t="str">
        <f t="shared" ref="B129" si="261">IF($G129="","Hide","Show")</f>
        <v>Hide</v>
      </c>
      <c r="E129" s="1"/>
      <c r="F129" t="s">
        <v>28</v>
      </c>
      <c r="G129" t="s">
        <v>28</v>
      </c>
      <c r="H129" t="s">
        <v>28</v>
      </c>
      <c r="I129" s="5" t="s">
        <v>28</v>
      </c>
      <c r="J129" s="5" t="s">
        <v>28</v>
      </c>
      <c r="K129" s="5" t="s">
        <v>87</v>
      </c>
      <c r="L129">
        <f t="shared" ref="L129" si="262">IFERROR(IF(K129*J129=0,"0",K129*J129),0)</f>
        <v>0</v>
      </c>
      <c r="M129" s="5" t="s">
        <v>28</v>
      </c>
      <c r="N129" t="e">
        <f t="shared" ref="N129" si="263">IF(M129*J129=0,"0",M129*J129)</f>
        <v>#VALUE!</v>
      </c>
      <c r="O129" s="5" t="s">
        <v>28</v>
      </c>
      <c r="P129" s="5" t="s">
        <v>28</v>
      </c>
      <c r="Q129" s="5" t="e">
        <f t="shared" ref="Q129" si="264">P129*O129</f>
        <v>#VALUE!</v>
      </c>
      <c r="R129" s="6" t="str">
        <f t="shared" ref="R129" si="265">IFERROR(Q129+N129+L129,"")</f>
        <v/>
      </c>
    </row>
    <row r="130" spans="1:18" hidden="1" x14ac:dyDescent="0.25">
      <c r="A130" t="s">
        <v>27</v>
      </c>
      <c r="B130" t="str">
        <f t="shared" ref="B130" si="266">IF($G129="","Hide","Show")</f>
        <v>Hide</v>
      </c>
      <c r="H130" t="s">
        <v>28</v>
      </c>
    </row>
    <row r="131" spans="1:18" hidden="1" x14ac:dyDescent="0.25">
      <c r="A131" t="s">
        <v>27</v>
      </c>
      <c r="B131" t="str">
        <f t="shared" ref="B131" si="267">IF($G129="","Hide","Show")</f>
        <v>Hide</v>
      </c>
    </row>
    <row r="132" spans="1:18" ht="17.25" x14ac:dyDescent="0.3">
      <c r="A132" t="s">
        <v>27</v>
      </c>
      <c r="B132" t="str">
        <f t="shared" ref="B132" si="268">IF($G133="","Hide","Show")</f>
        <v>Show</v>
      </c>
      <c r="C132" t="str">
        <f>"""Ceres4"",""TCP-LIVE"",""14012281"",""1"",""HOUSE PAP"""</f>
        <v>"Ceres4","TCP-LIVE","14012281","1","HOUSE PAP"</v>
      </c>
      <c r="D132" t="s">
        <v>42</v>
      </c>
      <c r="E132" s="9" t="s">
        <v>10</v>
      </c>
      <c r="F132" s="2"/>
      <c r="G132" s="8" t="s">
        <v>90</v>
      </c>
    </row>
    <row r="133" spans="1:18" x14ac:dyDescent="0.25">
      <c r="A133" t="s">
        <v>27</v>
      </c>
      <c r="B133" t="str">
        <f t="shared" ref="B133:B135" si="269">IF($G133="","Hide","Show")</f>
        <v>Show</v>
      </c>
      <c r="E133" s="1"/>
      <c r="F133" t="s">
        <v>148</v>
      </c>
      <c r="G133" t="s">
        <v>91</v>
      </c>
      <c r="H133" t="s">
        <v>119</v>
      </c>
      <c r="I133" s="5" t="s">
        <v>86</v>
      </c>
      <c r="J133" s="5">
        <v>8</v>
      </c>
      <c r="K133" s="5">
        <v>0</v>
      </c>
      <c r="L133" t="str">
        <f t="shared" ref="L133" si="270">IFERROR(IF(K133*J133=0,"0",K133*J133),0)</f>
        <v>0</v>
      </c>
      <c r="M133" s="5">
        <v>0</v>
      </c>
      <c r="N133" t="str">
        <f t="shared" ref="N133" si="271">IF(M133*J133=0,"0",M133*J133)</f>
        <v>0</v>
      </c>
      <c r="O133" s="5">
        <v>1.2</v>
      </c>
      <c r="P133" s="5">
        <v>14.27</v>
      </c>
      <c r="Q133" s="5">
        <f t="shared" ref="Q133" si="272">P133*O133</f>
        <v>17.123999999999999</v>
      </c>
      <c r="R133" s="6">
        <f t="shared" ref="R133" si="273">IFERROR(Q133+N133+L133,"")</f>
        <v>17.123999999999999</v>
      </c>
    </row>
    <row r="134" spans="1:18" x14ac:dyDescent="0.25">
      <c r="A134" t="s">
        <v>27</v>
      </c>
      <c r="B134" t="str">
        <f t="shared" ref="B134" si="274">IF($G133="","Hide","Show")</f>
        <v>Show</v>
      </c>
      <c r="H134" t="s">
        <v>120</v>
      </c>
    </row>
    <row r="135" spans="1:18" x14ac:dyDescent="0.25">
      <c r="A135" t="s">
        <v>27</v>
      </c>
      <c r="B135" t="str">
        <f t="shared" si="269"/>
        <v>Show</v>
      </c>
      <c r="E135" s="1"/>
      <c r="F135" t="str">
        <f>"""Ceres4"",""TCP-LIVE"",""27"",""1"",""P950037"""</f>
        <v>"Ceres4","TCP-LIVE","27","1","P950037"</v>
      </c>
      <c r="G135" t="s">
        <v>92</v>
      </c>
      <c r="H135" t="s">
        <v>121</v>
      </c>
      <c r="I135" s="5" t="s">
        <v>86</v>
      </c>
      <c r="J135" s="5">
        <v>8</v>
      </c>
      <c r="K135" s="5">
        <v>0</v>
      </c>
      <c r="L135" t="str">
        <f t="shared" ref="L135" si="275">IFERROR(IF(K135*J135=0,"0",K135*J135),0)</f>
        <v>0</v>
      </c>
      <c r="M135" s="5">
        <v>0</v>
      </c>
      <c r="N135" t="str">
        <f t="shared" ref="N135" si="276">IF(M135*J135=0,"0",M135*J135)</f>
        <v>0</v>
      </c>
      <c r="O135" s="5">
        <v>1.1000000000000001</v>
      </c>
      <c r="P135" s="5">
        <v>14.27</v>
      </c>
      <c r="Q135" s="5">
        <f t="shared" ref="Q135" si="277">P135*O135</f>
        <v>15.697000000000001</v>
      </c>
      <c r="R135" s="6">
        <f t="shared" ref="R135" si="278">IFERROR(Q135+N135+L135,"")</f>
        <v>15.697000000000001</v>
      </c>
    </row>
    <row r="136" spans="1:18" x14ac:dyDescent="0.25">
      <c r="A136" t="s">
        <v>27</v>
      </c>
      <c r="B136" t="str">
        <f t="shared" ref="B136" si="279">IF($G135="","Hide","Show")</f>
        <v>Show</v>
      </c>
      <c r="H136" t="s">
        <v>122</v>
      </c>
    </row>
    <row r="137" spans="1:18" x14ac:dyDescent="0.25">
      <c r="A137" t="s">
        <v>27</v>
      </c>
      <c r="B137" t="str">
        <f t="shared" ref="B137" si="280">IF($G133="","Hide","Show")</f>
        <v>Show</v>
      </c>
    </row>
    <row r="138" spans="1:18" ht="17.25" x14ac:dyDescent="0.3">
      <c r="A138" t="s">
        <v>27</v>
      </c>
      <c r="B138" t="str">
        <f t="shared" ref="B138" si="281">IF($G139="","Hide","Show")</f>
        <v>Show</v>
      </c>
      <c r="C138" t="str">
        <f>"""Ceres4"",""TCP-LIVE"",""14012281"",""1"",""HOUSE/SAN"""</f>
        <v>"Ceres4","TCP-LIVE","14012281","1","HOUSE/SAN"</v>
      </c>
      <c r="D138" t="s">
        <v>43</v>
      </c>
      <c r="E138" s="9" t="s">
        <v>10</v>
      </c>
      <c r="F138" s="2"/>
      <c r="G138" s="8" t="s">
        <v>93</v>
      </c>
    </row>
    <row r="139" spans="1:18" x14ac:dyDescent="0.25">
      <c r="A139" t="s">
        <v>27</v>
      </c>
      <c r="B139" t="str">
        <f t="shared" ref="B139:B141" si="282">IF($G139="","Hide","Show")</f>
        <v>Show</v>
      </c>
      <c r="E139" s="1"/>
      <c r="F139" t="s">
        <v>147</v>
      </c>
      <c r="G139" t="s">
        <v>94</v>
      </c>
      <c r="H139" t="s">
        <v>123</v>
      </c>
      <c r="I139" s="5" t="s">
        <v>86</v>
      </c>
      <c r="J139" s="5">
        <v>28</v>
      </c>
      <c r="K139" s="5">
        <v>0</v>
      </c>
      <c r="L139" t="str">
        <f t="shared" ref="L139" si="283">IFERROR(IF(K139*J139=0,"0",K139*J139),0)</f>
        <v>0</v>
      </c>
      <c r="M139" s="5">
        <v>0.25</v>
      </c>
      <c r="N139">
        <f t="shared" ref="N139" si="284">IF(M139*J139=0,"0",M139*J139)</f>
        <v>7</v>
      </c>
      <c r="O139" s="5">
        <v>1</v>
      </c>
      <c r="P139" s="5">
        <v>0</v>
      </c>
      <c r="Q139" s="5">
        <f t="shared" ref="Q139" si="285">P139*O139</f>
        <v>0</v>
      </c>
      <c r="R139" s="6">
        <f t="shared" ref="R139" si="286">IFERROR(Q139+N139+L139,"")</f>
        <v>7</v>
      </c>
    </row>
    <row r="140" spans="1:18" x14ac:dyDescent="0.25">
      <c r="A140" t="s">
        <v>27</v>
      </c>
      <c r="B140" t="str">
        <f t="shared" ref="B140" si="287">IF($G139="","Hide","Show")</f>
        <v>Show</v>
      </c>
      <c r="H140" t="s">
        <v>124</v>
      </c>
    </row>
    <row r="141" spans="1:18" x14ac:dyDescent="0.25">
      <c r="A141" t="s">
        <v>27</v>
      </c>
      <c r="B141" t="str">
        <f t="shared" si="282"/>
        <v>Show</v>
      </c>
      <c r="E141" s="1"/>
      <c r="F141" t="str">
        <f>"""Ceres4"",""TCP-LIVE"",""27"",""1"",""P997003"""</f>
        <v>"Ceres4","TCP-LIVE","27","1","P997003"</v>
      </c>
      <c r="G141" t="s">
        <v>95</v>
      </c>
      <c r="H141" t="s">
        <v>125</v>
      </c>
      <c r="I141" s="5" t="s">
        <v>117</v>
      </c>
      <c r="J141" s="5">
        <v>14</v>
      </c>
      <c r="K141" s="5">
        <v>0</v>
      </c>
      <c r="L141" t="str">
        <f t="shared" ref="L141" si="288">IFERROR(IF(K141*J141=0,"0",K141*J141),0)</f>
        <v>0</v>
      </c>
      <c r="M141" s="5">
        <v>0</v>
      </c>
      <c r="N141" t="str">
        <f t="shared" ref="N141" si="289">IF(M141*J141=0,"0",M141*J141)</f>
        <v>0</v>
      </c>
      <c r="O141" s="5">
        <v>1.2</v>
      </c>
      <c r="P141" s="5">
        <v>32.799999999999997</v>
      </c>
      <c r="Q141" s="5">
        <f t="shared" ref="Q141" si="290">P141*O141</f>
        <v>39.359999999999992</v>
      </c>
      <c r="R141" s="6">
        <f t="shared" ref="R141" si="291">IFERROR(Q141+N141+L141,"")</f>
        <v>39.359999999999992</v>
      </c>
    </row>
    <row r="142" spans="1:18" x14ac:dyDescent="0.25">
      <c r="A142" t="s">
        <v>27</v>
      </c>
      <c r="B142" t="str">
        <f t="shared" ref="B142" si="292">IF($G141="","Hide","Show")</f>
        <v>Show</v>
      </c>
      <c r="H142" t="s">
        <v>126</v>
      </c>
    </row>
    <row r="143" spans="1:18" x14ac:dyDescent="0.25">
      <c r="A143" t="s">
        <v>27</v>
      </c>
      <c r="B143" t="str">
        <f t="shared" ref="B143" si="293">IF($G139="","Hide","Show")</f>
        <v>Show</v>
      </c>
    </row>
    <row r="144" spans="1:18" ht="17.25" x14ac:dyDescent="0.3">
      <c r="A144" t="s">
        <v>27</v>
      </c>
      <c r="B144" t="str">
        <f t="shared" ref="B144" si="294">IF($G145="","Hide","Show")</f>
        <v>Show</v>
      </c>
      <c r="C144" t="str">
        <f>"""Ceres4"",""TCP-LIVE"",""14012281"",""1"",""JUICE"""</f>
        <v>"Ceres4","TCP-LIVE","14012281","1","JUICE"</v>
      </c>
      <c r="D144" t="s">
        <v>44</v>
      </c>
      <c r="E144" s="9" t="s">
        <v>10</v>
      </c>
      <c r="F144" s="2"/>
      <c r="G144" s="8" t="s">
        <v>96</v>
      </c>
    </row>
    <row r="145" spans="1:18" x14ac:dyDescent="0.25">
      <c r="A145" t="s">
        <v>27</v>
      </c>
      <c r="B145" t="str">
        <f t="shared" ref="B145:B147" si="295">IF($G145="","Hide","Show")</f>
        <v>Show</v>
      </c>
      <c r="E145" s="1"/>
      <c r="F145" t="s">
        <v>146</v>
      </c>
      <c r="G145" t="s">
        <v>97</v>
      </c>
      <c r="H145" t="s">
        <v>127</v>
      </c>
      <c r="I145" s="5" t="s">
        <v>118</v>
      </c>
      <c r="J145" s="5">
        <v>2</v>
      </c>
      <c r="K145" s="5">
        <v>0</v>
      </c>
      <c r="L145" t="str">
        <f t="shared" ref="L145" si="296">IFERROR(IF(K145*J145=0,"0",K145*J145),0)</f>
        <v>0</v>
      </c>
      <c r="M145" s="5">
        <v>0</v>
      </c>
      <c r="N145" t="str">
        <f t="shared" ref="N145" si="297">IF(M145*J145=0,"0",M145*J145)</f>
        <v>0</v>
      </c>
      <c r="O145" s="5">
        <v>1</v>
      </c>
      <c r="P145" s="5">
        <v>2.32667</v>
      </c>
      <c r="Q145" s="5">
        <f t="shared" ref="Q145" si="298">P145*O145</f>
        <v>2.32667</v>
      </c>
      <c r="R145" s="6">
        <f t="shared" ref="R145" si="299">IFERROR(Q145+N145+L145,"")</f>
        <v>2.32667</v>
      </c>
    </row>
    <row r="146" spans="1:18" x14ac:dyDescent="0.25">
      <c r="A146" t="s">
        <v>27</v>
      </c>
      <c r="B146" t="str">
        <f t="shared" ref="B146" si="300">IF($G145="","Hide","Show")</f>
        <v>Show</v>
      </c>
      <c r="H146" t="s">
        <v>128</v>
      </c>
    </row>
    <row r="147" spans="1:18" x14ac:dyDescent="0.25">
      <c r="A147" t="s">
        <v>27</v>
      </c>
      <c r="B147" t="str">
        <f t="shared" si="295"/>
        <v>Show</v>
      </c>
      <c r="E147" s="1"/>
      <c r="F147" t="str">
        <f>"""Ceres4"",""TCP-LIVE"",""27"",""1"",""P039994"""</f>
        <v>"Ceres4","TCP-LIVE","27","1","P039994"</v>
      </c>
      <c r="G147" t="s">
        <v>98</v>
      </c>
      <c r="H147" t="s">
        <v>129</v>
      </c>
      <c r="I147" s="5" t="s">
        <v>118</v>
      </c>
      <c r="J147" s="5">
        <v>3</v>
      </c>
      <c r="K147" s="5">
        <v>0</v>
      </c>
      <c r="L147" t="str">
        <f t="shared" ref="L147" si="301">IFERROR(IF(K147*J147=0,"0",K147*J147),0)</f>
        <v>0</v>
      </c>
      <c r="M147" s="5">
        <v>0</v>
      </c>
      <c r="N147" t="str">
        <f t="shared" ref="N147" si="302">IF(M147*J147=0,"0",M147*J147)</f>
        <v>0</v>
      </c>
      <c r="O147" s="5">
        <v>1.05</v>
      </c>
      <c r="P147" s="5">
        <v>2.7033299999999998</v>
      </c>
      <c r="Q147" s="5">
        <f t="shared" ref="Q147" si="303">P147*O147</f>
        <v>2.8384964999999998</v>
      </c>
      <c r="R147" s="6">
        <f t="shared" ref="R147" si="304">IFERROR(Q147+N147+L147,"")</f>
        <v>2.8384964999999998</v>
      </c>
    </row>
    <row r="148" spans="1:18" x14ac:dyDescent="0.25">
      <c r="A148" t="s">
        <v>27</v>
      </c>
      <c r="B148" t="str">
        <f t="shared" ref="B148" si="305">IF($G147="","Hide","Show")</f>
        <v>Show</v>
      </c>
      <c r="H148" t="s">
        <v>130</v>
      </c>
    </row>
    <row r="149" spans="1:18" x14ac:dyDescent="0.25">
      <c r="A149" t="s">
        <v>27</v>
      </c>
      <c r="B149" t="str">
        <f t="shared" ref="B149" si="306">IF($G145="","Hide","Show")</f>
        <v>Show</v>
      </c>
    </row>
    <row r="150" spans="1:18" ht="17.25" hidden="1" x14ac:dyDescent="0.3">
      <c r="A150" t="s">
        <v>27</v>
      </c>
      <c r="B150" t="str">
        <f t="shared" ref="B150" si="307">IF($G151="","Hide","Show")</f>
        <v>Hide</v>
      </c>
      <c r="C150" t="str">
        <f>"""Ceres4"",""TCP-LIVE"",""14012281"",""1"",""MIXED/ASST"""</f>
        <v>"Ceres4","TCP-LIVE","14012281","1","MIXED/ASST"</v>
      </c>
      <c r="D150" t="s">
        <v>45</v>
      </c>
      <c r="E150" s="9" t="s">
        <v>10</v>
      </c>
      <c r="F150" s="2"/>
      <c r="G150" s="8" t="s">
        <v>99</v>
      </c>
    </row>
    <row r="151" spans="1:18" hidden="1" x14ac:dyDescent="0.25">
      <c r="A151" t="s">
        <v>27</v>
      </c>
      <c r="B151" t="str">
        <f t="shared" ref="B151" si="308">IF($G151="","Hide","Show")</f>
        <v>Hide</v>
      </c>
      <c r="E151" s="1"/>
      <c r="F151" t="s">
        <v>28</v>
      </c>
      <c r="G151" t="s">
        <v>28</v>
      </c>
      <c r="H151" t="s">
        <v>28</v>
      </c>
      <c r="I151" s="5" t="s">
        <v>28</v>
      </c>
      <c r="J151" s="5" t="s">
        <v>28</v>
      </c>
      <c r="K151" s="5" t="s">
        <v>87</v>
      </c>
      <c r="L151">
        <f t="shared" ref="L151" si="309">IFERROR(IF(K151*J151=0,"0",K151*J151),0)</f>
        <v>0</v>
      </c>
      <c r="M151" s="5" t="s">
        <v>28</v>
      </c>
      <c r="N151" t="e">
        <f t="shared" ref="N151" si="310">IF(M151*J151=0,"0",M151*J151)</f>
        <v>#VALUE!</v>
      </c>
      <c r="O151" s="5" t="s">
        <v>28</v>
      </c>
      <c r="P151" s="5" t="s">
        <v>28</v>
      </c>
      <c r="Q151" s="5" t="e">
        <f t="shared" ref="Q151" si="311">P151*O151</f>
        <v>#VALUE!</v>
      </c>
      <c r="R151" s="6" t="str">
        <f t="shared" ref="R151" si="312">IFERROR(Q151+N151+L151,"")</f>
        <v/>
      </c>
    </row>
    <row r="152" spans="1:18" hidden="1" x14ac:dyDescent="0.25">
      <c r="A152" t="s">
        <v>27</v>
      </c>
      <c r="B152" t="str">
        <f t="shared" ref="B152" si="313">IF($G151="","Hide","Show")</f>
        <v>Hide</v>
      </c>
      <c r="H152" t="s">
        <v>28</v>
      </c>
    </row>
    <row r="153" spans="1:18" hidden="1" x14ac:dyDescent="0.25">
      <c r="A153" t="s">
        <v>27</v>
      </c>
      <c r="B153" t="str">
        <f t="shared" ref="B153" si="314">IF($G151="","Hide","Show")</f>
        <v>Hide</v>
      </c>
    </row>
    <row r="154" spans="1:18" ht="17.25" hidden="1" x14ac:dyDescent="0.3">
      <c r="A154" t="s">
        <v>27</v>
      </c>
      <c r="B154" t="str">
        <f t="shared" ref="B154" si="315">IF($G155="","Hide","Show")</f>
        <v>Hide</v>
      </c>
      <c r="C154" t="str">
        <f>"""Ceres4"",""TCP-LIVE"",""14012281"",""1"",""NF"""</f>
        <v>"Ceres4","TCP-LIVE","14012281","1","NF"</v>
      </c>
      <c r="D154" t="s">
        <v>46</v>
      </c>
      <c r="E154" s="9" t="s">
        <v>10</v>
      </c>
      <c r="F154" s="2"/>
      <c r="G154" s="8" t="s">
        <v>100</v>
      </c>
    </row>
    <row r="155" spans="1:18" hidden="1" x14ac:dyDescent="0.25">
      <c r="A155" t="s">
        <v>27</v>
      </c>
      <c r="B155" t="str">
        <f t="shared" ref="B155" si="316">IF($G155="","Hide","Show")</f>
        <v>Hide</v>
      </c>
      <c r="E155" s="1"/>
      <c r="F155" t="s">
        <v>28</v>
      </c>
      <c r="G155" t="s">
        <v>28</v>
      </c>
      <c r="H155" t="s">
        <v>28</v>
      </c>
      <c r="I155" s="5" t="s">
        <v>28</v>
      </c>
      <c r="J155" s="5" t="s">
        <v>28</v>
      </c>
      <c r="K155" s="5" t="s">
        <v>87</v>
      </c>
      <c r="L155">
        <f t="shared" ref="L155" si="317">IFERROR(IF(K155*J155=0,"0",K155*J155),0)</f>
        <v>0</v>
      </c>
      <c r="M155" s="5" t="s">
        <v>28</v>
      </c>
      <c r="N155" t="e">
        <f t="shared" ref="N155" si="318">IF(M155*J155=0,"0",M155*J155)</f>
        <v>#VALUE!</v>
      </c>
      <c r="O155" s="5" t="s">
        <v>28</v>
      </c>
      <c r="P155" s="5" t="s">
        <v>28</v>
      </c>
      <c r="Q155" s="5" t="e">
        <f t="shared" ref="Q155" si="319">P155*O155</f>
        <v>#VALUE!</v>
      </c>
      <c r="R155" s="6" t="str">
        <f t="shared" ref="R155" si="320">IFERROR(Q155+N155+L155,"")</f>
        <v/>
      </c>
    </row>
    <row r="156" spans="1:18" hidden="1" x14ac:dyDescent="0.25">
      <c r="A156" t="s">
        <v>27</v>
      </c>
      <c r="B156" t="str">
        <f t="shared" ref="B156" si="321">IF($G155="","Hide","Show")</f>
        <v>Hide</v>
      </c>
      <c r="H156" t="s">
        <v>28</v>
      </c>
    </row>
    <row r="157" spans="1:18" hidden="1" x14ac:dyDescent="0.25">
      <c r="A157" t="s">
        <v>27</v>
      </c>
      <c r="B157" t="str">
        <f t="shared" ref="B157" si="322">IF($G155="","Hide","Show")</f>
        <v>Hide</v>
      </c>
    </row>
    <row r="158" spans="1:18" ht="17.25" hidden="1" x14ac:dyDescent="0.3">
      <c r="A158" t="s">
        <v>27</v>
      </c>
      <c r="B158" t="str">
        <f t="shared" ref="B158" si="323">IF($G159="","Hide","Show")</f>
        <v>Hide</v>
      </c>
      <c r="C158" t="str">
        <f>"""Ceres4"",""TCP-LIVE"",""14012281"",""1"",""NONDAIRY"""</f>
        <v>"Ceres4","TCP-LIVE","14012281","1","NONDAIRY"</v>
      </c>
      <c r="D158" t="s">
        <v>47</v>
      </c>
      <c r="E158" s="9" t="s">
        <v>10</v>
      </c>
      <c r="F158" s="2"/>
      <c r="G158" s="8" t="s">
        <v>101</v>
      </c>
    </row>
    <row r="159" spans="1:18" hidden="1" x14ac:dyDescent="0.25">
      <c r="A159" t="s">
        <v>27</v>
      </c>
      <c r="B159" t="str">
        <f t="shared" ref="B159" si="324">IF($G159="","Hide","Show")</f>
        <v>Hide</v>
      </c>
      <c r="E159" s="1"/>
      <c r="F159" t="s">
        <v>28</v>
      </c>
      <c r="G159" t="s">
        <v>28</v>
      </c>
      <c r="H159" t="s">
        <v>28</v>
      </c>
      <c r="I159" s="5" t="s">
        <v>28</v>
      </c>
      <c r="J159" s="5" t="s">
        <v>28</v>
      </c>
      <c r="K159" s="5" t="s">
        <v>87</v>
      </c>
      <c r="L159">
        <f t="shared" ref="L159" si="325">IFERROR(IF(K159*J159=0,"0",K159*J159),0)</f>
        <v>0</v>
      </c>
      <c r="M159" s="5" t="s">
        <v>28</v>
      </c>
      <c r="N159" t="e">
        <f t="shared" ref="N159" si="326">IF(M159*J159=0,"0",M159*J159)</f>
        <v>#VALUE!</v>
      </c>
      <c r="O159" s="5" t="s">
        <v>28</v>
      </c>
      <c r="P159" s="5" t="s">
        <v>28</v>
      </c>
      <c r="Q159" s="5" t="e">
        <f t="shared" ref="Q159" si="327">P159*O159</f>
        <v>#VALUE!</v>
      </c>
      <c r="R159" s="6" t="str">
        <f t="shared" ref="R159" si="328">IFERROR(Q159+N159+L159,"")</f>
        <v/>
      </c>
    </row>
    <row r="160" spans="1:18" hidden="1" x14ac:dyDescent="0.25">
      <c r="A160" t="s">
        <v>27</v>
      </c>
      <c r="B160" t="str">
        <f t="shared" ref="B160" si="329">IF($G159="","Hide","Show")</f>
        <v>Hide</v>
      </c>
      <c r="H160" t="s">
        <v>28</v>
      </c>
    </row>
    <row r="161" spans="1:18" hidden="1" x14ac:dyDescent="0.25">
      <c r="A161" t="s">
        <v>27</v>
      </c>
      <c r="B161" t="str">
        <f t="shared" ref="B161" si="330">IF($G159="","Hide","Show")</f>
        <v>Hide</v>
      </c>
    </row>
    <row r="162" spans="1:18" ht="17.25" hidden="1" x14ac:dyDescent="0.3">
      <c r="A162" t="s">
        <v>27</v>
      </c>
      <c r="B162" t="str">
        <f t="shared" ref="B162" si="331">IF($G163="","Hide","Show")</f>
        <v>Hide</v>
      </c>
      <c r="C162" t="str">
        <f>"""Ceres4"",""TCP-LIVE"",""14012281"",""1"",""NUTRITION"""</f>
        <v>"Ceres4","TCP-LIVE","14012281","1","NUTRITION"</v>
      </c>
      <c r="D162" t="s">
        <v>48</v>
      </c>
      <c r="E162" s="9" t="s">
        <v>10</v>
      </c>
      <c r="F162" s="2"/>
      <c r="G162" s="8" t="s">
        <v>102</v>
      </c>
    </row>
    <row r="163" spans="1:18" hidden="1" x14ac:dyDescent="0.25">
      <c r="A163" t="s">
        <v>27</v>
      </c>
      <c r="B163" t="str">
        <f t="shared" ref="B163" si="332">IF($G163="","Hide","Show")</f>
        <v>Hide</v>
      </c>
      <c r="E163" s="1"/>
      <c r="F163" t="s">
        <v>28</v>
      </c>
      <c r="G163" t="s">
        <v>28</v>
      </c>
      <c r="H163" t="s">
        <v>28</v>
      </c>
      <c r="I163" s="5" t="s">
        <v>28</v>
      </c>
      <c r="J163" s="5" t="s">
        <v>28</v>
      </c>
      <c r="K163" s="5" t="s">
        <v>87</v>
      </c>
      <c r="L163">
        <f t="shared" ref="L163" si="333">IFERROR(IF(K163*J163=0,"0",K163*J163),0)</f>
        <v>0</v>
      </c>
      <c r="M163" s="5" t="s">
        <v>28</v>
      </c>
      <c r="N163" t="e">
        <f t="shared" ref="N163" si="334">IF(M163*J163=0,"0",M163*J163)</f>
        <v>#VALUE!</v>
      </c>
      <c r="O163" s="5" t="s">
        <v>28</v>
      </c>
      <c r="P163" s="5" t="s">
        <v>28</v>
      </c>
      <c r="Q163" s="5" t="e">
        <f t="shared" ref="Q163" si="335">P163*O163</f>
        <v>#VALUE!</v>
      </c>
      <c r="R163" s="6" t="str">
        <f t="shared" ref="R163" si="336">IFERROR(Q163+N163+L163,"")</f>
        <v/>
      </c>
    </row>
    <row r="164" spans="1:18" hidden="1" x14ac:dyDescent="0.25">
      <c r="A164" t="s">
        <v>27</v>
      </c>
      <c r="B164" t="str">
        <f t="shared" ref="B164" si="337">IF($G163="","Hide","Show")</f>
        <v>Hide</v>
      </c>
      <c r="H164" t="s">
        <v>28</v>
      </c>
    </row>
    <row r="165" spans="1:18" hidden="1" x14ac:dyDescent="0.25">
      <c r="A165" t="s">
        <v>27</v>
      </c>
      <c r="B165" t="str">
        <f t="shared" ref="B165" si="338">IF($G163="","Hide","Show")</f>
        <v>Hide</v>
      </c>
    </row>
    <row r="166" spans="1:18" ht="17.25" hidden="1" x14ac:dyDescent="0.3">
      <c r="A166" t="s">
        <v>27</v>
      </c>
      <c r="B166" t="str">
        <f t="shared" ref="B166" si="339">IF($G167="","Hide","Show")</f>
        <v>Hide</v>
      </c>
      <c r="C166" t="str">
        <f>"""Ceres4"",""TCP-LIVE"",""14012281"",""1"",""OTC"""</f>
        <v>"Ceres4","TCP-LIVE","14012281","1","OTC"</v>
      </c>
      <c r="D166" t="s">
        <v>49</v>
      </c>
      <c r="E166" s="9" t="s">
        <v>10</v>
      </c>
      <c r="F166" s="2"/>
      <c r="G166" s="8" t="s">
        <v>103</v>
      </c>
    </row>
    <row r="167" spans="1:18" hidden="1" x14ac:dyDescent="0.25">
      <c r="A167" t="s">
        <v>27</v>
      </c>
      <c r="B167" t="str">
        <f t="shared" ref="B167" si="340">IF($G167="","Hide","Show")</f>
        <v>Hide</v>
      </c>
      <c r="E167" s="1"/>
      <c r="F167" t="s">
        <v>28</v>
      </c>
      <c r="G167" t="s">
        <v>28</v>
      </c>
      <c r="H167" t="s">
        <v>28</v>
      </c>
      <c r="I167" s="5" t="s">
        <v>28</v>
      </c>
      <c r="J167" s="5" t="s">
        <v>28</v>
      </c>
      <c r="K167" s="5" t="s">
        <v>87</v>
      </c>
      <c r="L167">
        <f t="shared" ref="L167" si="341">IFERROR(IF(K167*J167=0,"0",K167*J167),0)</f>
        <v>0</v>
      </c>
      <c r="M167" s="5" t="s">
        <v>28</v>
      </c>
      <c r="N167" t="e">
        <f t="shared" ref="N167" si="342">IF(M167*J167=0,"0",M167*J167)</f>
        <v>#VALUE!</v>
      </c>
      <c r="O167" s="5" t="s">
        <v>28</v>
      </c>
      <c r="P167" s="5" t="s">
        <v>28</v>
      </c>
      <c r="Q167" s="5" t="e">
        <f t="shared" ref="Q167" si="343">P167*O167</f>
        <v>#VALUE!</v>
      </c>
      <c r="R167" s="6" t="str">
        <f t="shared" ref="R167" si="344">IFERROR(Q167+N167+L167,"")</f>
        <v/>
      </c>
    </row>
    <row r="168" spans="1:18" hidden="1" x14ac:dyDescent="0.25">
      <c r="A168" t="s">
        <v>27</v>
      </c>
      <c r="B168" t="str">
        <f t="shared" ref="B168" si="345">IF($G167="","Hide","Show")</f>
        <v>Hide</v>
      </c>
      <c r="H168" t="s">
        <v>28</v>
      </c>
    </row>
    <row r="169" spans="1:18" hidden="1" x14ac:dyDescent="0.25">
      <c r="A169" t="s">
        <v>27</v>
      </c>
      <c r="B169" t="str">
        <f t="shared" ref="B169" si="346">IF($G167="","Hide","Show")</f>
        <v>Hide</v>
      </c>
    </row>
    <row r="170" spans="1:18" ht="17.25" x14ac:dyDescent="0.3">
      <c r="A170" t="s">
        <v>27</v>
      </c>
      <c r="B170" t="str">
        <f t="shared" ref="B170" si="347">IF($G171="","Hide","Show")</f>
        <v>Show</v>
      </c>
      <c r="C170" t="str">
        <f>"""Ceres4"",""TCP-LIVE"",""14012281"",""1"",""PASTA"""</f>
        <v>"Ceres4","TCP-LIVE","14012281","1","PASTA"</v>
      </c>
      <c r="D170" t="s">
        <v>50</v>
      </c>
      <c r="E170" s="9" t="s">
        <v>10</v>
      </c>
      <c r="F170" s="2"/>
      <c r="G170" s="8" t="s">
        <v>104</v>
      </c>
    </row>
    <row r="171" spans="1:18" x14ac:dyDescent="0.25">
      <c r="A171" t="s">
        <v>27</v>
      </c>
      <c r="B171" t="str">
        <f t="shared" ref="B171:B177" si="348">IF($G171="","Hide","Show")</f>
        <v>Show</v>
      </c>
      <c r="E171" s="1"/>
      <c r="F171" t="s">
        <v>145</v>
      </c>
      <c r="G171" t="s">
        <v>105</v>
      </c>
      <c r="H171" t="s">
        <v>131</v>
      </c>
      <c r="I171" s="5" t="s">
        <v>86</v>
      </c>
      <c r="J171" s="5">
        <v>14</v>
      </c>
      <c r="K171" s="5">
        <v>0</v>
      </c>
      <c r="L171" t="str">
        <f t="shared" ref="L171" si="349">IFERROR(IF(K171*J171=0,"0",K171*J171),0)</f>
        <v>0</v>
      </c>
      <c r="M171" s="5">
        <v>0</v>
      </c>
      <c r="N171" t="str">
        <f t="shared" ref="N171" si="350">IF(M171*J171=0,"0",M171*J171)</f>
        <v>0</v>
      </c>
      <c r="O171" s="5">
        <v>1.2</v>
      </c>
      <c r="P171" s="5">
        <v>9.4700000000000006</v>
      </c>
      <c r="Q171" s="5">
        <f t="shared" ref="Q171" si="351">P171*O171</f>
        <v>11.364000000000001</v>
      </c>
      <c r="R171" s="6">
        <f t="shared" ref="R171" si="352">IFERROR(Q171+N171+L171,"")</f>
        <v>11.364000000000001</v>
      </c>
    </row>
    <row r="172" spans="1:18" x14ac:dyDescent="0.25">
      <c r="A172" t="s">
        <v>27</v>
      </c>
      <c r="B172" t="str">
        <f t="shared" ref="B172" si="353">IF($G171="","Hide","Show")</f>
        <v>Show</v>
      </c>
      <c r="H172" t="s">
        <v>132</v>
      </c>
    </row>
    <row r="173" spans="1:18" x14ac:dyDescent="0.25">
      <c r="A173" t="s">
        <v>27</v>
      </c>
      <c r="B173" t="str">
        <f t="shared" si="348"/>
        <v>Show</v>
      </c>
      <c r="E173" s="1"/>
      <c r="F173" t="str">
        <f>"""Ceres4"",""TCP-LIVE"",""27"",""1"",""P650004"""</f>
        <v>"Ceres4","TCP-LIVE","27","1","P650004"</v>
      </c>
      <c r="G173" t="s">
        <v>106</v>
      </c>
      <c r="H173" t="s">
        <v>133</v>
      </c>
      <c r="I173" s="5" t="s">
        <v>86</v>
      </c>
      <c r="J173" s="5">
        <v>21</v>
      </c>
      <c r="K173" s="5">
        <v>0</v>
      </c>
      <c r="L173" t="str">
        <f t="shared" ref="L173" si="354">IFERROR(IF(K173*J173=0,"0",K173*J173),0)</f>
        <v>0</v>
      </c>
      <c r="M173" s="5">
        <v>0</v>
      </c>
      <c r="N173" t="str">
        <f t="shared" ref="N173" si="355">IF(M173*J173=0,"0",M173*J173)</f>
        <v>0</v>
      </c>
      <c r="O173" s="5">
        <v>1.2</v>
      </c>
      <c r="P173" s="5">
        <v>13.49</v>
      </c>
      <c r="Q173" s="5">
        <f t="shared" ref="Q173" si="356">P173*O173</f>
        <v>16.187999999999999</v>
      </c>
      <c r="R173" s="6">
        <f t="shared" ref="R173" si="357">IFERROR(Q173+N173+L173,"")</f>
        <v>16.187999999999999</v>
      </c>
    </row>
    <row r="174" spans="1:18" x14ac:dyDescent="0.25">
      <c r="A174" t="s">
        <v>27</v>
      </c>
      <c r="B174" t="str">
        <f t="shared" ref="B174" si="358">IF($G173="","Hide","Show")</f>
        <v>Show</v>
      </c>
      <c r="H174" t="s">
        <v>134</v>
      </c>
    </row>
    <row r="175" spans="1:18" x14ac:dyDescent="0.25">
      <c r="A175" t="s">
        <v>27</v>
      </c>
      <c r="B175" t="str">
        <f t="shared" si="348"/>
        <v>Show</v>
      </c>
      <c r="E175" s="1"/>
      <c r="F175" t="str">
        <f>"""Ceres4"",""TCP-LIVE"",""27"",""1"",""P650031"""</f>
        <v>"Ceres4","TCP-LIVE","27","1","P650031"</v>
      </c>
      <c r="G175" t="s">
        <v>107</v>
      </c>
      <c r="H175" t="s">
        <v>135</v>
      </c>
      <c r="I175" s="5" t="s">
        <v>86</v>
      </c>
      <c r="J175" s="5">
        <v>30</v>
      </c>
      <c r="K175" s="5">
        <v>0</v>
      </c>
      <c r="L175" t="str">
        <f t="shared" ref="L175" si="359">IFERROR(IF(K175*J175=0,"0",K175*J175),0)</f>
        <v>0</v>
      </c>
      <c r="M175" s="5">
        <v>0</v>
      </c>
      <c r="N175" t="str">
        <f t="shared" ref="N175" si="360">IF(M175*J175=0,"0",M175*J175)</f>
        <v>0</v>
      </c>
      <c r="O175" s="5">
        <v>1.2</v>
      </c>
      <c r="P175" s="5">
        <v>16.940000000000001</v>
      </c>
      <c r="Q175" s="5">
        <f t="shared" ref="Q175" si="361">P175*O175</f>
        <v>20.327999999999999</v>
      </c>
      <c r="R175" s="6">
        <f t="shared" ref="R175" si="362">IFERROR(Q175+N175+L175,"")</f>
        <v>20.327999999999999</v>
      </c>
    </row>
    <row r="176" spans="1:18" x14ac:dyDescent="0.25">
      <c r="A176" t="s">
        <v>27</v>
      </c>
      <c r="B176" t="str">
        <f t="shared" ref="B176" si="363">IF($G175="","Hide","Show")</f>
        <v>Show</v>
      </c>
      <c r="H176" t="s">
        <v>136</v>
      </c>
    </row>
    <row r="177" spans="1:18" x14ac:dyDescent="0.25">
      <c r="A177" t="s">
        <v>27</v>
      </c>
      <c r="B177" t="str">
        <f t="shared" si="348"/>
        <v>Show</v>
      </c>
      <c r="E177" s="1"/>
      <c r="F177" t="str">
        <f>"""Ceres4"",""TCP-LIVE"",""27"",""1"",""P669999"""</f>
        <v>"Ceres4","TCP-LIVE","27","1","P669999"</v>
      </c>
      <c r="G177" t="s">
        <v>108</v>
      </c>
      <c r="H177" t="s">
        <v>137</v>
      </c>
      <c r="I177" s="5" t="s">
        <v>86</v>
      </c>
      <c r="J177" s="5">
        <v>20</v>
      </c>
      <c r="K177" s="5">
        <v>0</v>
      </c>
      <c r="L177" t="str">
        <f t="shared" ref="L177" si="364">IFERROR(IF(K177*J177=0,"0",K177*J177),0)</f>
        <v>0</v>
      </c>
      <c r="M177" s="5">
        <v>0</v>
      </c>
      <c r="N177" t="str">
        <f t="shared" ref="N177" si="365">IF(M177*J177=0,"0",M177*J177)</f>
        <v>0</v>
      </c>
      <c r="O177" s="5">
        <v>1.2</v>
      </c>
      <c r="P177" s="5">
        <v>13.49</v>
      </c>
      <c r="Q177" s="5">
        <f t="shared" ref="Q177" si="366">P177*O177</f>
        <v>16.187999999999999</v>
      </c>
      <c r="R177" s="6">
        <f t="shared" ref="R177" si="367">IFERROR(Q177+N177+L177,"")</f>
        <v>16.187999999999999</v>
      </c>
    </row>
    <row r="178" spans="1:18" x14ac:dyDescent="0.25">
      <c r="A178" t="s">
        <v>27</v>
      </c>
      <c r="B178" t="str">
        <f t="shared" ref="B178" si="368">IF($G177="","Hide","Show")</f>
        <v>Show</v>
      </c>
      <c r="H178" t="s">
        <v>138</v>
      </c>
    </row>
    <row r="179" spans="1:18" x14ac:dyDescent="0.25">
      <c r="A179" t="s">
        <v>27</v>
      </c>
      <c r="B179" t="str">
        <f t="shared" ref="B179" si="369">IF($G171="","Hide","Show")</f>
        <v>Show</v>
      </c>
    </row>
    <row r="180" spans="1:18" ht="17.25" hidden="1" x14ac:dyDescent="0.3">
      <c r="A180" t="s">
        <v>27</v>
      </c>
      <c r="B180" t="str">
        <f t="shared" ref="B180" si="370">IF($G181="","Hide","Show")</f>
        <v>Hide</v>
      </c>
      <c r="C180" t="str">
        <f>"""Ceres4"",""TCP-LIVE"",""14012281"",""1"",""PASTRY"""</f>
        <v>"Ceres4","TCP-LIVE","14012281","1","PASTRY"</v>
      </c>
      <c r="D180" t="s">
        <v>51</v>
      </c>
      <c r="E180" s="9" t="s">
        <v>10</v>
      </c>
      <c r="F180" s="2"/>
      <c r="G180" s="8" t="s">
        <v>109</v>
      </c>
    </row>
    <row r="181" spans="1:18" hidden="1" x14ac:dyDescent="0.25">
      <c r="A181" t="s">
        <v>27</v>
      </c>
      <c r="B181" t="str">
        <f t="shared" ref="B181" si="371">IF($G181="","Hide","Show")</f>
        <v>Hide</v>
      </c>
      <c r="E181" s="1"/>
      <c r="F181" t="s">
        <v>28</v>
      </c>
      <c r="G181" t="s">
        <v>28</v>
      </c>
      <c r="H181" t="s">
        <v>28</v>
      </c>
      <c r="I181" s="5" t="s">
        <v>28</v>
      </c>
      <c r="J181" s="5" t="s">
        <v>28</v>
      </c>
      <c r="K181" s="5" t="s">
        <v>87</v>
      </c>
      <c r="L181">
        <f t="shared" ref="L181" si="372">IFERROR(IF(K181*J181=0,"0",K181*J181),0)</f>
        <v>0</v>
      </c>
      <c r="M181" s="5" t="s">
        <v>28</v>
      </c>
      <c r="N181" t="e">
        <f t="shared" ref="N181" si="373">IF(M181*J181=0,"0",M181*J181)</f>
        <v>#VALUE!</v>
      </c>
      <c r="O181" s="5" t="s">
        <v>28</v>
      </c>
      <c r="P181" s="5" t="s">
        <v>28</v>
      </c>
      <c r="Q181" s="5" t="e">
        <f t="shared" ref="Q181" si="374">P181*O181</f>
        <v>#VALUE!</v>
      </c>
      <c r="R181" s="6" t="str">
        <f t="shared" ref="R181" si="375">IFERROR(Q181+N181+L181,"")</f>
        <v/>
      </c>
    </row>
    <row r="182" spans="1:18" hidden="1" x14ac:dyDescent="0.25">
      <c r="A182" t="s">
        <v>27</v>
      </c>
      <c r="B182" t="str">
        <f t="shared" ref="B182" si="376">IF($G181="","Hide","Show")</f>
        <v>Hide</v>
      </c>
      <c r="H182" t="s">
        <v>28</v>
      </c>
    </row>
    <row r="183" spans="1:18" hidden="1" x14ac:dyDescent="0.25">
      <c r="A183" t="s">
        <v>27</v>
      </c>
      <c r="B183" t="str">
        <f t="shared" ref="B183" si="377">IF($G181="","Hide","Show")</f>
        <v>Hide</v>
      </c>
    </row>
    <row r="184" spans="1:18" ht="17.25" hidden="1" x14ac:dyDescent="0.3">
      <c r="A184" t="s">
        <v>27</v>
      </c>
      <c r="B184" t="str">
        <f t="shared" ref="B184" si="378">IF($G185="","Hide","Show")</f>
        <v>Hide</v>
      </c>
      <c r="C184" t="str">
        <f>"""Ceres4"",""TCP-LIVE"",""14012281"",""1"",""PER PAP"""</f>
        <v>"Ceres4","TCP-LIVE","14012281","1","PER PAP"</v>
      </c>
      <c r="D184" t="s">
        <v>52</v>
      </c>
      <c r="E184" s="9" t="s">
        <v>10</v>
      </c>
      <c r="F184" s="2"/>
      <c r="G184" s="8" t="s">
        <v>110</v>
      </c>
    </row>
    <row r="185" spans="1:18" hidden="1" x14ac:dyDescent="0.25">
      <c r="A185" t="s">
        <v>27</v>
      </c>
      <c r="B185" t="str">
        <f t="shared" ref="B185" si="379">IF($G185="","Hide","Show")</f>
        <v>Hide</v>
      </c>
      <c r="E185" s="1"/>
      <c r="F185" t="s">
        <v>28</v>
      </c>
      <c r="G185" t="s">
        <v>28</v>
      </c>
      <c r="H185" t="s">
        <v>28</v>
      </c>
      <c r="I185" s="5" t="s">
        <v>28</v>
      </c>
      <c r="J185" s="5" t="s">
        <v>28</v>
      </c>
      <c r="K185" s="5" t="s">
        <v>87</v>
      </c>
      <c r="L185">
        <f t="shared" ref="L185" si="380">IFERROR(IF(K185*J185=0,"0",K185*J185),0)</f>
        <v>0</v>
      </c>
      <c r="M185" s="5" t="s">
        <v>28</v>
      </c>
      <c r="N185" t="e">
        <f t="shared" ref="N185" si="381">IF(M185*J185=0,"0",M185*J185)</f>
        <v>#VALUE!</v>
      </c>
      <c r="O185" s="5" t="s">
        <v>28</v>
      </c>
      <c r="P185" s="5" t="s">
        <v>28</v>
      </c>
      <c r="Q185" s="5" t="e">
        <f t="shared" ref="Q185" si="382">P185*O185</f>
        <v>#VALUE!</v>
      </c>
      <c r="R185" s="6" t="str">
        <f t="shared" ref="R185" si="383">IFERROR(Q185+N185+L185,"")</f>
        <v/>
      </c>
    </row>
    <row r="186" spans="1:18" hidden="1" x14ac:dyDescent="0.25">
      <c r="A186" t="s">
        <v>27</v>
      </c>
      <c r="B186" t="str">
        <f t="shared" ref="B186" si="384">IF($G185="","Hide","Show")</f>
        <v>Hide</v>
      </c>
      <c r="H186" t="s">
        <v>28</v>
      </c>
    </row>
    <row r="187" spans="1:18" hidden="1" x14ac:dyDescent="0.25">
      <c r="A187" t="s">
        <v>27</v>
      </c>
      <c r="B187" t="str">
        <f t="shared" ref="B187" si="385">IF($G185="","Hide","Show")</f>
        <v>Hide</v>
      </c>
    </row>
    <row r="188" spans="1:18" ht="17.25" x14ac:dyDescent="0.3">
      <c r="A188" t="s">
        <v>27</v>
      </c>
      <c r="B188" t="str">
        <f t="shared" ref="B188" si="386">IF($G189="","Hide","Show")</f>
        <v>Show</v>
      </c>
      <c r="C188" t="str">
        <f>"""Ceres4"",""TCP-LIVE"",""14012281"",""1"",""PERSONAL"""</f>
        <v>"Ceres4","TCP-LIVE","14012281","1","PERSONAL"</v>
      </c>
      <c r="D188" t="s">
        <v>53</v>
      </c>
      <c r="E188" s="9" t="s">
        <v>10</v>
      </c>
      <c r="F188" s="2"/>
      <c r="G188" s="8" t="s">
        <v>111</v>
      </c>
    </row>
    <row r="189" spans="1:18" x14ac:dyDescent="0.25">
      <c r="A189" t="s">
        <v>27</v>
      </c>
      <c r="B189" t="str">
        <f t="shared" ref="B189:B191" si="387">IF($G189="","Hide","Show")</f>
        <v>Show</v>
      </c>
      <c r="E189" s="1"/>
      <c r="F189" t="s">
        <v>144</v>
      </c>
      <c r="G189" t="s">
        <v>112</v>
      </c>
      <c r="H189" t="s">
        <v>139</v>
      </c>
      <c r="I189" s="5" t="s">
        <v>86</v>
      </c>
      <c r="J189" s="5">
        <v>12</v>
      </c>
      <c r="K189" s="5">
        <v>0</v>
      </c>
      <c r="L189" t="str">
        <f t="shared" ref="L189" si="388">IFERROR(IF(K189*J189=0,"0",K189*J189),0)</f>
        <v>0</v>
      </c>
      <c r="M189" s="5">
        <v>0</v>
      </c>
      <c r="N189" t="str">
        <f t="shared" ref="N189" si="389">IF(M189*J189=0,"0",M189*J189)</f>
        <v>0</v>
      </c>
      <c r="O189" s="5">
        <v>1.2</v>
      </c>
      <c r="P189" s="5">
        <v>9.0500000000000007</v>
      </c>
      <c r="Q189" s="5">
        <f t="shared" ref="Q189" si="390">P189*O189</f>
        <v>10.860000000000001</v>
      </c>
      <c r="R189" s="6">
        <f t="shared" ref="R189" si="391">IFERROR(Q189+N189+L189,"")</f>
        <v>10.860000000000001</v>
      </c>
    </row>
    <row r="190" spans="1:18" x14ac:dyDescent="0.25">
      <c r="A190" t="s">
        <v>27</v>
      </c>
      <c r="B190" t="str">
        <f t="shared" ref="B190" si="392">IF($G189="","Hide","Show")</f>
        <v>Show</v>
      </c>
      <c r="H190" t="s">
        <v>140</v>
      </c>
    </row>
    <row r="191" spans="1:18" x14ac:dyDescent="0.25">
      <c r="A191" t="s">
        <v>27</v>
      </c>
      <c r="B191" t="str">
        <f t="shared" si="387"/>
        <v>Show</v>
      </c>
      <c r="E191" s="1"/>
      <c r="F191" t="str">
        <f>"""Ceres4"",""TCP-LIVE"",""27"",""1"",""P997001"""</f>
        <v>"Ceres4","TCP-LIVE","27","1","P997001"</v>
      </c>
      <c r="G191" t="s">
        <v>113</v>
      </c>
      <c r="H191" t="s">
        <v>141</v>
      </c>
      <c r="I191" s="5" t="s">
        <v>86</v>
      </c>
      <c r="J191" s="5">
        <v>9</v>
      </c>
      <c r="K191" s="5">
        <v>0</v>
      </c>
      <c r="L191" t="str">
        <f t="shared" ref="L191" si="393">IFERROR(IF(K191*J191=0,"0",K191*J191),0)</f>
        <v>0</v>
      </c>
      <c r="M191" s="5">
        <v>0</v>
      </c>
      <c r="N191" t="str">
        <f t="shared" ref="N191" si="394">IF(M191*J191=0,"0",M191*J191)</f>
        <v>0</v>
      </c>
      <c r="O191" s="5">
        <v>1.1499999999999999</v>
      </c>
      <c r="P191" s="5">
        <v>28</v>
      </c>
      <c r="Q191" s="5">
        <f t="shared" ref="Q191" si="395">P191*O191</f>
        <v>32.199999999999996</v>
      </c>
      <c r="R191" s="6">
        <f t="shared" ref="R191" si="396">IFERROR(Q191+N191+L191,"")</f>
        <v>32.199999999999996</v>
      </c>
    </row>
    <row r="192" spans="1:18" x14ac:dyDescent="0.25">
      <c r="A192" t="s">
        <v>27</v>
      </c>
      <c r="B192" t="str">
        <f t="shared" ref="B192" si="397">IF($G191="","Hide","Show")</f>
        <v>Show</v>
      </c>
      <c r="H192" t="s">
        <v>142</v>
      </c>
    </row>
    <row r="193" spans="1:18" x14ac:dyDescent="0.25">
      <c r="A193" t="s">
        <v>27</v>
      </c>
      <c r="B193" t="str">
        <f t="shared" ref="B193" si="398">IF($G189="","Hide","Show")</f>
        <v>Show</v>
      </c>
    </row>
    <row r="194" spans="1:18" ht="17.25" hidden="1" x14ac:dyDescent="0.3">
      <c r="A194" t="s">
        <v>27</v>
      </c>
      <c r="B194" t="str">
        <f t="shared" ref="B194" si="399">IF($G195="","Hide","Show")</f>
        <v>Hide</v>
      </c>
      <c r="C194" t="str">
        <f>"""Ceres4"",""TCP-LIVE"",""14012281"",""1"",""PET"""</f>
        <v>"Ceres4","TCP-LIVE","14012281","1","PET"</v>
      </c>
      <c r="D194" t="s">
        <v>54</v>
      </c>
      <c r="E194" s="9" t="s">
        <v>10</v>
      </c>
      <c r="F194" s="2"/>
      <c r="G194" s="8" t="s">
        <v>114</v>
      </c>
    </row>
    <row r="195" spans="1:18" hidden="1" x14ac:dyDescent="0.25">
      <c r="A195" t="s">
        <v>27</v>
      </c>
      <c r="B195" t="str">
        <f t="shared" ref="B195" si="400">IF($G195="","Hide","Show")</f>
        <v>Hide</v>
      </c>
      <c r="E195" s="1"/>
      <c r="F195" t="s">
        <v>28</v>
      </c>
      <c r="G195" t="s">
        <v>28</v>
      </c>
      <c r="H195" t="s">
        <v>28</v>
      </c>
      <c r="I195" s="5" t="s">
        <v>28</v>
      </c>
      <c r="J195" s="5" t="s">
        <v>28</v>
      </c>
      <c r="K195" s="5" t="s">
        <v>87</v>
      </c>
      <c r="L195">
        <f t="shared" ref="L195" si="401">IFERROR(IF(K195*J195=0,"0",K195*J195),0)</f>
        <v>0</v>
      </c>
      <c r="M195" s="5" t="s">
        <v>28</v>
      </c>
      <c r="N195" t="e">
        <f t="shared" ref="N195" si="402">IF(M195*J195=0,"0",M195*J195)</f>
        <v>#VALUE!</v>
      </c>
      <c r="O195" s="5" t="s">
        <v>28</v>
      </c>
      <c r="P195" s="5" t="s">
        <v>28</v>
      </c>
      <c r="Q195" s="5" t="e">
        <f t="shared" ref="Q195" si="403">P195*O195</f>
        <v>#VALUE!</v>
      </c>
      <c r="R195" s="6" t="str">
        <f t="shared" ref="R195" si="404">IFERROR(Q195+N195+L195,"")</f>
        <v/>
      </c>
    </row>
    <row r="196" spans="1:18" hidden="1" x14ac:dyDescent="0.25">
      <c r="A196" t="s">
        <v>27</v>
      </c>
      <c r="B196" t="str">
        <f t="shared" ref="B196" si="405">IF($G195="","Hide","Show")</f>
        <v>Hide</v>
      </c>
      <c r="H196" t="s">
        <v>28</v>
      </c>
    </row>
    <row r="197" spans="1:18" hidden="1" x14ac:dyDescent="0.25">
      <c r="A197" t="s">
        <v>27</v>
      </c>
      <c r="B197" t="str">
        <f t="shared" ref="B197" si="406">IF($G195="","Hide","Show")</f>
        <v>Hide</v>
      </c>
    </row>
    <row r="198" spans="1:18" ht="17.25" hidden="1" x14ac:dyDescent="0.3">
      <c r="A198" t="s">
        <v>27</v>
      </c>
      <c r="B198" t="str">
        <f t="shared" ref="B198" si="407">IF($G199="","Hide","Show")</f>
        <v>Hide</v>
      </c>
      <c r="C198" t="str">
        <f>"""Ceres4"",""TCP-LIVE"",""14012281"",""1"",""PRODUCE"""</f>
        <v>"Ceres4","TCP-LIVE","14012281","1","PRODUCE"</v>
      </c>
      <c r="D198" t="s">
        <v>55</v>
      </c>
      <c r="E198" s="9" t="s">
        <v>10</v>
      </c>
      <c r="F198" s="2"/>
      <c r="G198" s="8" t="s">
        <v>115</v>
      </c>
    </row>
    <row r="199" spans="1:18" hidden="1" x14ac:dyDescent="0.25">
      <c r="A199" t="s">
        <v>27</v>
      </c>
      <c r="B199" t="str">
        <f t="shared" ref="B199" si="408">IF($G199="","Hide","Show")</f>
        <v>Hide</v>
      </c>
      <c r="E199" s="1"/>
      <c r="F199" t="s">
        <v>28</v>
      </c>
      <c r="G199" t="s">
        <v>28</v>
      </c>
      <c r="H199" t="s">
        <v>28</v>
      </c>
      <c r="I199" s="5" t="s">
        <v>28</v>
      </c>
      <c r="J199" s="5" t="s">
        <v>28</v>
      </c>
      <c r="K199" s="5" t="s">
        <v>87</v>
      </c>
      <c r="L199">
        <f t="shared" ref="L199" si="409">IFERROR(IF(K199*J199=0,"0",K199*J199),0)</f>
        <v>0</v>
      </c>
      <c r="M199" s="5" t="s">
        <v>28</v>
      </c>
      <c r="N199" t="e">
        <f t="shared" ref="N199" si="410">IF(M199*J199=0,"0",M199*J199)</f>
        <v>#VALUE!</v>
      </c>
      <c r="O199" s="5" t="s">
        <v>28</v>
      </c>
      <c r="P199" s="5" t="s">
        <v>28</v>
      </c>
      <c r="Q199" s="5" t="e">
        <f t="shared" ref="Q199" si="411">P199*O199</f>
        <v>#VALUE!</v>
      </c>
      <c r="R199" s="6" t="str">
        <f t="shared" ref="R199" si="412">IFERROR(Q199+N199+L199,"")</f>
        <v/>
      </c>
    </row>
    <row r="200" spans="1:18" hidden="1" x14ac:dyDescent="0.25">
      <c r="A200" t="s">
        <v>27</v>
      </c>
      <c r="B200" t="str">
        <f t="shared" ref="B200" si="413">IF($G199="","Hide","Show")</f>
        <v>Hide</v>
      </c>
      <c r="H200" t="s">
        <v>28</v>
      </c>
    </row>
    <row r="201" spans="1:18" hidden="1" x14ac:dyDescent="0.25">
      <c r="A201" t="s">
        <v>27</v>
      </c>
      <c r="B201" t="str">
        <f t="shared" ref="B201" si="414">IF($G199="","Hide","Show")</f>
        <v>Hide</v>
      </c>
    </row>
    <row r="202" spans="1:18" ht="17.25" x14ac:dyDescent="0.3">
      <c r="A202" t="s">
        <v>27</v>
      </c>
      <c r="B202" t="str">
        <f t="shared" ref="B202" si="415">IF($G203="","Hide","Show")</f>
        <v>Show</v>
      </c>
      <c r="C202" t="str">
        <f>"""Ceres4"",""TCP-LIVE"",""14012281"",""1"",""PRO-MEAT"""</f>
        <v>"Ceres4","TCP-LIVE","14012281","1","PRO-MEAT"</v>
      </c>
      <c r="D202" t="s">
        <v>56</v>
      </c>
      <c r="E202" s="9" t="s">
        <v>10</v>
      </c>
      <c r="F202" s="2"/>
      <c r="G202" s="8" t="s">
        <v>116</v>
      </c>
    </row>
    <row r="203" spans="1:18" x14ac:dyDescent="0.25">
      <c r="A203" t="s">
        <v>27</v>
      </c>
      <c r="B203" t="str">
        <f t="shared" ref="B203:B249" si="416">IF($G203="","Hide","Show")</f>
        <v>Show</v>
      </c>
      <c r="E203" s="1"/>
      <c r="F203" t="s">
        <v>143</v>
      </c>
      <c r="G203" t="str">
        <f>"P400003"</f>
        <v>P400003</v>
      </c>
      <c r="H203" t="str">
        <f>"Protein - Ground Beef"</f>
        <v>Protein - Ground Beef</v>
      </c>
      <c r="I203" s="5" t="str">
        <f>"EA"</f>
        <v>EA</v>
      </c>
      <c r="J203" s="5">
        <v>5</v>
      </c>
      <c r="K203" s="5">
        <v>0</v>
      </c>
      <c r="L203" t="str">
        <f t="shared" ref="L203" si="417">IFERROR(IF(K203*J203=0,"0",K203*J203),0)</f>
        <v>0</v>
      </c>
      <c r="M203" s="5">
        <v>0</v>
      </c>
      <c r="N203" t="str">
        <f t="shared" ref="N203" si="418">IF(M203*J203=0,"0",M203*J203)</f>
        <v>0</v>
      </c>
      <c r="O203" s="5">
        <v>1.1000000000000001</v>
      </c>
      <c r="P203" s="5">
        <v>13.278</v>
      </c>
      <c r="Q203" s="5">
        <f t="shared" ref="Q203" si="419">P203*O203</f>
        <v>14.605800000000002</v>
      </c>
      <c r="R203" s="6">
        <f t="shared" ref="R203" si="420">IFERROR(Q203+N203+L203,"")</f>
        <v>14.605800000000002</v>
      </c>
    </row>
    <row r="204" spans="1:18" x14ac:dyDescent="0.25">
      <c r="A204" t="s">
        <v>27</v>
      </c>
      <c r="B204" t="str">
        <f t="shared" ref="B204" si="421">IF($G203="","Hide","Show")</f>
        <v>Show</v>
      </c>
      <c r="H204" t="str">
        <f>"1-5 lb "</f>
        <v xml:space="preserve">1-5 lb </v>
      </c>
    </row>
    <row r="205" spans="1:18" x14ac:dyDescent="0.25">
      <c r="A205" t="s">
        <v>27</v>
      </c>
      <c r="B205" t="str">
        <f t="shared" si="416"/>
        <v>Show</v>
      </c>
      <c r="E205" s="1"/>
      <c r="F205" t="str">
        <f>"""Ceres4"",""TCP-LIVE"",""27"",""1"",""P400007"""</f>
        <v>"Ceres4","TCP-LIVE","27","1","P400007"</v>
      </c>
      <c r="G205" t="str">
        <f>"P400007"</f>
        <v>P400007</v>
      </c>
      <c r="H205" t="str">
        <f>"Protein - Beef Shredded Cooked"</f>
        <v>Protein - Beef Shredded Cooked</v>
      </c>
      <c r="I205" s="5" t="str">
        <f>"BAG"</f>
        <v>BAG</v>
      </c>
      <c r="J205" s="5">
        <v>5</v>
      </c>
      <c r="K205" s="5">
        <v>0</v>
      </c>
      <c r="L205" t="str">
        <f t="shared" ref="L205" si="422">IFERROR(IF(K205*J205=0,"0",K205*J205),0)</f>
        <v>0</v>
      </c>
      <c r="M205" s="5">
        <v>0</v>
      </c>
      <c r="N205" t="str">
        <f t="shared" ref="N205" si="423">IF(M205*J205=0,"0",M205*J205)</f>
        <v>0</v>
      </c>
      <c r="O205" s="5">
        <v>1</v>
      </c>
      <c r="P205" s="5">
        <v>29.944290000000002</v>
      </c>
      <c r="Q205" s="5">
        <f t="shared" ref="Q205" si="424">P205*O205</f>
        <v>29.944290000000002</v>
      </c>
      <c r="R205" s="6">
        <f t="shared" ref="R205" si="425">IFERROR(Q205+N205+L205,"")</f>
        <v>29.944290000000002</v>
      </c>
    </row>
    <row r="206" spans="1:18" x14ac:dyDescent="0.25">
      <c r="A206" t="s">
        <v>27</v>
      </c>
      <c r="B206" t="str">
        <f t="shared" ref="B206" si="426">IF($G205="","Hide","Show")</f>
        <v>Show</v>
      </c>
      <c r="H206" t="str">
        <f>"1- 5 lb "</f>
        <v xml:space="preserve">1- 5 lb </v>
      </c>
    </row>
    <row r="207" spans="1:18" x14ac:dyDescent="0.25">
      <c r="A207" t="s">
        <v>27</v>
      </c>
      <c r="B207" t="str">
        <f t="shared" si="416"/>
        <v>Show</v>
      </c>
      <c r="E207" s="1"/>
      <c r="F207" t="str">
        <f>"""Ceres4"",""TCP-LIVE"",""27"",""1"",""P400008"""</f>
        <v>"Ceres4","TCP-LIVE","27","1","P400008"</v>
      </c>
      <c r="G207" t="str">
        <f>"P400008"</f>
        <v>P400008</v>
      </c>
      <c r="H207" t="str">
        <f>"Protein - Beef Patties"</f>
        <v>Protein - Beef Patties</v>
      </c>
      <c r="I207" s="5" t="str">
        <f>"BAG"</f>
        <v>BAG</v>
      </c>
      <c r="J207" s="5">
        <v>1</v>
      </c>
      <c r="K207" s="5">
        <v>0</v>
      </c>
      <c r="L207" t="str">
        <f t="shared" ref="L207" si="427">IFERROR(IF(K207*J207=0,"0",K207*J207),0)</f>
        <v>0</v>
      </c>
      <c r="M207" s="5">
        <v>0</v>
      </c>
      <c r="N207" t="str">
        <f t="shared" ref="N207" si="428">IF(M207*J207=0,"0",M207*J207)</f>
        <v>0</v>
      </c>
      <c r="O207" s="5">
        <v>1.2</v>
      </c>
      <c r="P207" s="5">
        <v>7.5671399999999993</v>
      </c>
      <c r="Q207" s="5">
        <f t="shared" ref="Q207" si="429">P207*O207</f>
        <v>9.0805679999999995</v>
      </c>
      <c r="R207" s="6">
        <f t="shared" ref="R207" si="430">IFERROR(Q207+N207+L207,"")</f>
        <v>9.0805679999999995</v>
      </c>
    </row>
    <row r="208" spans="1:18" x14ac:dyDescent="0.25">
      <c r="A208" t="s">
        <v>27</v>
      </c>
      <c r="B208" t="str">
        <f t="shared" ref="B208" si="431">IF($G207="","Hide","Show")</f>
        <v>Show</v>
      </c>
      <c r="H208" t="str">
        <f>"5 patties to a bag"</f>
        <v>5 patties to a bag</v>
      </c>
    </row>
    <row r="209" spans="1:18" x14ac:dyDescent="0.25">
      <c r="A209" t="s">
        <v>27</v>
      </c>
      <c r="B209" t="str">
        <f t="shared" si="416"/>
        <v>Show</v>
      </c>
      <c r="E209" s="1"/>
      <c r="F209" t="str">
        <f>"""Ceres4"",""TCP-LIVE"",""27"",""1"",""P400011"""</f>
        <v>"Ceres4","TCP-LIVE","27","1","P400011"</v>
      </c>
      <c r="G209" t="str">
        <f>"P400011"</f>
        <v>P400011</v>
      </c>
      <c r="H209" t="str">
        <f>"Protein - Beef Patties"</f>
        <v>Protein - Beef Patties</v>
      </c>
      <c r="I209" s="5" t="str">
        <f>"BAG"</f>
        <v>BAG</v>
      </c>
      <c r="J209" s="5">
        <v>1</v>
      </c>
      <c r="K209" s="5">
        <v>0</v>
      </c>
      <c r="L209" t="str">
        <f t="shared" ref="L209" si="432">IFERROR(IF(K209*J209=0,"0",K209*J209),0)</f>
        <v>0</v>
      </c>
      <c r="M209" s="5">
        <v>0</v>
      </c>
      <c r="N209" t="str">
        <f t="shared" ref="N209" si="433">IF(M209*J209=0,"0",M209*J209)</f>
        <v>0</v>
      </c>
      <c r="O209" s="5">
        <v>1.2</v>
      </c>
      <c r="P209" s="5">
        <v>9.8000000000000007</v>
      </c>
      <c r="Q209" s="5">
        <f t="shared" ref="Q209" si="434">P209*O209</f>
        <v>11.76</v>
      </c>
      <c r="R209" s="6">
        <f t="shared" ref="R209" si="435">IFERROR(Q209+N209+L209,"")</f>
        <v>11.76</v>
      </c>
    </row>
    <row r="210" spans="1:18" x14ac:dyDescent="0.25">
      <c r="A210" t="s">
        <v>27</v>
      </c>
      <c r="B210" t="str">
        <f t="shared" ref="B210" si="436">IF($G209="","Hide","Show")</f>
        <v>Show</v>
      </c>
      <c r="H210" t="str">
        <f>"1-10 pk"</f>
        <v>1-10 pk</v>
      </c>
    </row>
    <row r="211" spans="1:18" x14ac:dyDescent="0.25">
      <c r="A211" t="s">
        <v>27</v>
      </c>
      <c r="B211" t="str">
        <f t="shared" si="416"/>
        <v>Show</v>
      </c>
      <c r="E211" s="1"/>
      <c r="F211" t="str">
        <f>"""Ceres4"",""TCP-LIVE"",""27"",""1"",""P400012"""</f>
        <v>"Ceres4","TCP-LIVE","27","1","P400012"</v>
      </c>
      <c r="G211" t="str">
        <f>"P400012"</f>
        <v>P400012</v>
      </c>
      <c r="H211" t="str">
        <f>"Protein- Beef Ribeye "</f>
        <v xml:space="preserve">Protein- Beef Ribeye </v>
      </c>
      <c r="I211" s="5" t="str">
        <f>"EA"</f>
        <v>EA</v>
      </c>
      <c r="J211" s="5">
        <v>2</v>
      </c>
      <c r="K211" s="5">
        <v>0</v>
      </c>
      <c r="L211" t="str">
        <f t="shared" ref="L211" si="437">IFERROR(IF(K211*J211=0,"0",K211*J211),0)</f>
        <v>0</v>
      </c>
      <c r="M211" s="5">
        <v>0</v>
      </c>
      <c r="N211" t="str">
        <f t="shared" ref="N211" si="438">IF(M211*J211=0,"0",M211*J211)</f>
        <v>0</v>
      </c>
      <c r="O211" s="5">
        <v>1</v>
      </c>
      <c r="P211" s="5">
        <v>17.546330000000001</v>
      </c>
      <c r="Q211" s="5">
        <f t="shared" ref="Q211" si="439">P211*O211</f>
        <v>17.546330000000001</v>
      </c>
      <c r="R211" s="6">
        <f t="shared" ref="R211" si="440">IFERROR(Q211+N211+L211,"")</f>
        <v>17.546330000000001</v>
      </c>
    </row>
    <row r="212" spans="1:18" x14ac:dyDescent="0.25">
      <c r="A212" t="s">
        <v>27</v>
      </c>
      <c r="B212" t="str">
        <f t="shared" ref="B212" si="441">IF($G211="","Hide","Show")</f>
        <v>Show</v>
      </c>
      <c r="H212" t="str">
        <f>"1-2 lb"</f>
        <v>1-2 lb</v>
      </c>
    </row>
    <row r="213" spans="1:18" x14ac:dyDescent="0.25">
      <c r="A213" t="s">
        <v>27</v>
      </c>
      <c r="B213" t="str">
        <f t="shared" si="416"/>
        <v>Show</v>
      </c>
      <c r="E213" s="1"/>
      <c r="F213" t="str">
        <f>"""Ceres4"",""TCP-LIVE"",""27"",""1"",""P400013"""</f>
        <v>"Ceres4","TCP-LIVE","27","1","P400013"</v>
      </c>
      <c r="G213" t="str">
        <f>"P400013"</f>
        <v>P400013</v>
      </c>
      <c r="H213" t="str">
        <f>"Protein - Beef Patties "</f>
        <v xml:space="preserve">Protein - Beef Patties </v>
      </c>
      <c r="I213" s="5" t="str">
        <f>"CS"</f>
        <v>CS</v>
      </c>
      <c r="J213" s="5">
        <v>11</v>
      </c>
      <c r="K213" s="5">
        <v>0</v>
      </c>
      <c r="L213" t="str">
        <f t="shared" ref="L213" si="442">IFERROR(IF(K213*J213=0,"0",K213*J213),0)</f>
        <v>0</v>
      </c>
      <c r="M213" s="5">
        <v>0</v>
      </c>
      <c r="N213" t="str">
        <f t="shared" ref="N213" si="443">IF(M213*J213=0,"0",M213*J213)</f>
        <v>0</v>
      </c>
      <c r="O213" s="5">
        <v>1.1000000000000001</v>
      </c>
      <c r="P213" s="5">
        <v>28.56</v>
      </c>
      <c r="Q213" s="5">
        <f t="shared" ref="Q213" si="444">P213*O213</f>
        <v>31.416</v>
      </c>
      <c r="R213" s="6">
        <f t="shared" ref="R213" si="445">IFERROR(Q213+N213+L213,"")</f>
        <v>31.416</v>
      </c>
    </row>
    <row r="214" spans="1:18" x14ac:dyDescent="0.25">
      <c r="A214" t="s">
        <v>27</v>
      </c>
      <c r="B214" t="str">
        <f t="shared" ref="B214" si="446">IF($G213="","Hide","Show")</f>
        <v>Show</v>
      </c>
      <c r="H214" t="str">
        <f>"30 - 5.33 oz"</f>
        <v>30 - 5.33 oz</v>
      </c>
    </row>
    <row r="215" spans="1:18" x14ac:dyDescent="0.25">
      <c r="A215" t="s">
        <v>27</v>
      </c>
      <c r="B215" t="str">
        <f t="shared" si="416"/>
        <v>Show</v>
      </c>
      <c r="E215" s="1"/>
      <c r="F215" t="str">
        <f>"""Ceres4"",""TCP-LIVE"",""27"",""1"",""P410002"""</f>
        <v>"Ceres4","TCP-LIVE","27","1","P410002"</v>
      </c>
      <c r="G215" t="str">
        <f>"P410002"</f>
        <v>P410002</v>
      </c>
      <c r="H215" t="str">
        <f>"Protein - Chicken Nuggets"</f>
        <v>Protein - Chicken Nuggets</v>
      </c>
      <c r="I215" s="5" t="str">
        <f>"BAG"</f>
        <v>BAG</v>
      </c>
      <c r="J215" s="5">
        <v>5</v>
      </c>
      <c r="K215" s="5">
        <v>0</v>
      </c>
      <c r="L215" t="str">
        <f t="shared" ref="L215" si="447">IFERROR(IF(K215*J215=0,"0",K215*J215),0)</f>
        <v>0</v>
      </c>
      <c r="M215" s="5">
        <v>0</v>
      </c>
      <c r="N215" t="str">
        <f t="shared" ref="N215" si="448">IF(M215*J215=0,"0",M215*J215)</f>
        <v>0</v>
      </c>
      <c r="O215" s="5">
        <v>1.1499999999999999</v>
      </c>
      <c r="P215" s="5">
        <v>11.93923</v>
      </c>
      <c r="Q215" s="5">
        <f t="shared" ref="Q215" si="449">P215*O215</f>
        <v>13.730114499999999</v>
      </c>
      <c r="R215" s="6">
        <f t="shared" ref="R215" si="450">IFERROR(Q215+N215+L215,"")</f>
        <v>13.730114499999999</v>
      </c>
    </row>
    <row r="216" spans="1:18" x14ac:dyDescent="0.25">
      <c r="A216" t="s">
        <v>27</v>
      </c>
      <c r="B216" t="str">
        <f t="shared" ref="B216" si="451">IF($G215="","Hide","Show")</f>
        <v>Show</v>
      </c>
      <c r="H216" t="str">
        <f>"5 lb bag"</f>
        <v>5 lb bag</v>
      </c>
    </row>
    <row r="217" spans="1:18" x14ac:dyDescent="0.25">
      <c r="A217" t="s">
        <v>27</v>
      </c>
      <c r="B217" t="str">
        <f t="shared" si="416"/>
        <v>Show</v>
      </c>
      <c r="E217" s="1"/>
      <c r="F217" t="str">
        <f>"""Ceres4"",""TCP-LIVE"",""27"",""1"",""P420000"""</f>
        <v>"Ceres4","TCP-LIVE","27","1","P420000"</v>
      </c>
      <c r="G217" t="str">
        <f>"P420000"</f>
        <v>P420000</v>
      </c>
      <c r="H217" t="str">
        <f>"Protein-Bacon"</f>
        <v>Protein-Bacon</v>
      </c>
      <c r="I217" s="5" t="str">
        <f>"EA"</f>
        <v>EA</v>
      </c>
      <c r="J217" s="5">
        <v>1</v>
      </c>
      <c r="K217" s="5">
        <v>0</v>
      </c>
      <c r="L217" t="str">
        <f t="shared" ref="L217" si="452">IFERROR(IF(K217*J217=0,"0",K217*J217),0)</f>
        <v>0</v>
      </c>
      <c r="M217" s="5">
        <v>0</v>
      </c>
      <c r="N217" t="str">
        <f t="shared" ref="N217" si="453">IF(M217*J217=0,"0",M217*J217)</f>
        <v>0</v>
      </c>
      <c r="O217" s="5">
        <v>1.1000000000000001</v>
      </c>
      <c r="P217" s="5">
        <v>3.6733299999999995</v>
      </c>
      <c r="Q217" s="5">
        <f t="shared" ref="Q217" si="454">P217*O217</f>
        <v>4.0406629999999994</v>
      </c>
      <c r="R217" s="6">
        <f t="shared" ref="R217" si="455">IFERROR(Q217+N217+L217,"")</f>
        <v>4.0406629999999994</v>
      </c>
    </row>
    <row r="218" spans="1:18" x14ac:dyDescent="0.25">
      <c r="A218" t="s">
        <v>27</v>
      </c>
      <c r="B218" t="str">
        <f t="shared" ref="B218" si="456">IF($G217="","Hide","Show")</f>
        <v>Show</v>
      </c>
      <c r="H218" t="str">
        <f>"1-1 lb "</f>
        <v xml:space="preserve">1-1 lb </v>
      </c>
    </row>
    <row r="219" spans="1:18" x14ac:dyDescent="0.25">
      <c r="A219" t="s">
        <v>27</v>
      </c>
      <c r="B219" t="str">
        <f t="shared" si="416"/>
        <v>Show</v>
      </c>
      <c r="E219" s="1"/>
      <c r="F219" t="str">
        <f>"""Ceres4"",""TCP-LIVE"",""27"",""1"",""P420001"""</f>
        <v>"Ceres4","TCP-LIVE","27","1","P420001"</v>
      </c>
      <c r="G219" t="str">
        <f>"P420001"</f>
        <v>P420001</v>
      </c>
      <c r="H219" t="str">
        <f>"Protein-Sausage Links"</f>
        <v>Protein-Sausage Links</v>
      </c>
      <c r="I219" s="5" t="str">
        <f>"EA"</f>
        <v>EA</v>
      </c>
      <c r="J219" s="5">
        <v>1</v>
      </c>
      <c r="K219" s="5">
        <v>0</v>
      </c>
      <c r="L219" t="str">
        <f t="shared" ref="L219" si="457">IFERROR(IF(K219*J219=0,"0",K219*J219),0)</f>
        <v>0</v>
      </c>
      <c r="M219" s="5">
        <v>0</v>
      </c>
      <c r="N219" t="str">
        <f t="shared" ref="N219" si="458">IF(M219*J219=0,"0",M219*J219)</f>
        <v>0</v>
      </c>
      <c r="O219" s="5">
        <v>1.1000000000000001</v>
      </c>
      <c r="P219" s="5">
        <v>3.43</v>
      </c>
      <c r="Q219" s="5">
        <f t="shared" ref="Q219" si="459">P219*O219</f>
        <v>3.7730000000000006</v>
      </c>
      <c r="R219" s="6">
        <f t="shared" ref="R219" si="460">IFERROR(Q219+N219+L219,"")</f>
        <v>3.7730000000000006</v>
      </c>
    </row>
    <row r="220" spans="1:18" x14ac:dyDescent="0.25">
      <c r="A220" t="s">
        <v>27</v>
      </c>
      <c r="B220" t="str">
        <f t="shared" ref="B220" si="461">IF($G219="","Hide","Show")</f>
        <v>Show</v>
      </c>
      <c r="H220" t="str">
        <f>"1-1 lb"</f>
        <v>1-1 lb</v>
      </c>
    </row>
    <row r="221" spans="1:18" x14ac:dyDescent="0.25">
      <c r="A221" t="s">
        <v>27</v>
      </c>
      <c r="B221" t="str">
        <f t="shared" si="416"/>
        <v>Show</v>
      </c>
      <c r="E221" s="1"/>
      <c r="F221" t="str">
        <f>"""Ceres4"",""TCP-LIVE"",""27"",""1"",""P420002"""</f>
        <v>"Ceres4","TCP-LIVE","27","1","P420002"</v>
      </c>
      <c r="G221" t="str">
        <f>"P420002"</f>
        <v>P420002</v>
      </c>
      <c r="H221" t="str">
        <f>"Protein-Pork Sausage Patty"</f>
        <v>Protein-Pork Sausage Patty</v>
      </c>
      <c r="I221" s="5" t="str">
        <f>"EA"</f>
        <v>EA</v>
      </c>
      <c r="J221" s="5">
        <v>1</v>
      </c>
      <c r="K221" s="5">
        <v>0</v>
      </c>
      <c r="L221" t="str">
        <f t="shared" ref="L221" si="462">IFERROR(IF(K221*J221=0,"0",K221*J221),0)</f>
        <v>0</v>
      </c>
      <c r="M221" s="5">
        <v>0</v>
      </c>
      <c r="N221" t="str">
        <f t="shared" ref="N221" si="463">IF(M221*J221=0,"0",M221*J221)</f>
        <v>0</v>
      </c>
      <c r="O221" s="5">
        <v>1.1000000000000001</v>
      </c>
      <c r="P221" s="5">
        <v>2.6932499999999999</v>
      </c>
      <c r="Q221" s="5">
        <f t="shared" ref="Q221" si="464">P221*O221</f>
        <v>2.9625750000000002</v>
      </c>
      <c r="R221" s="6">
        <f t="shared" ref="R221" si="465">IFERROR(Q221+N221+L221,"")</f>
        <v>2.9625750000000002</v>
      </c>
    </row>
    <row r="222" spans="1:18" x14ac:dyDescent="0.25">
      <c r="A222" t="s">
        <v>27</v>
      </c>
      <c r="B222" t="str">
        <f t="shared" ref="B222" si="466">IF($G221="","Hide","Show")</f>
        <v>Show</v>
      </c>
      <c r="H222" t="str">
        <f>"1-1 lb"</f>
        <v>1-1 lb</v>
      </c>
    </row>
    <row r="223" spans="1:18" x14ac:dyDescent="0.25">
      <c r="A223" t="s">
        <v>27</v>
      </c>
      <c r="B223" t="str">
        <f t="shared" si="416"/>
        <v>Show</v>
      </c>
      <c r="E223" s="1"/>
      <c r="F223" t="str">
        <f>"""Ceres4"",""TCP-LIVE"",""27"",""1"",""P420005"""</f>
        <v>"Ceres4","TCP-LIVE","27","1","P420005"</v>
      </c>
      <c r="G223" t="str">
        <f>"P420005"</f>
        <v>P420005</v>
      </c>
      <c r="H223" t="str">
        <f>"Protein - Lunchmeat - Slice Ham"</f>
        <v>Protein - Lunchmeat - Slice Ham</v>
      </c>
      <c r="I223" s="5" t="str">
        <f>"EA"</f>
        <v>EA</v>
      </c>
      <c r="J223" s="5">
        <v>2</v>
      </c>
      <c r="K223" s="5">
        <v>0</v>
      </c>
      <c r="L223" t="str">
        <f t="shared" ref="L223" si="467">IFERROR(IF(K223*J223=0,"0",K223*J223),0)</f>
        <v>0</v>
      </c>
      <c r="M223" s="5">
        <v>0</v>
      </c>
      <c r="N223" t="str">
        <f t="shared" ref="N223" si="468">IF(M223*J223=0,"0",M223*J223)</f>
        <v>0</v>
      </c>
      <c r="O223" s="5">
        <v>1.1000000000000001</v>
      </c>
      <c r="P223" s="5">
        <v>4.8151400000000004</v>
      </c>
      <c r="Q223" s="5">
        <f t="shared" ref="Q223" si="469">P223*O223</f>
        <v>5.2966540000000011</v>
      </c>
      <c r="R223" s="6">
        <f t="shared" ref="R223" si="470">IFERROR(Q223+N223+L223,"")</f>
        <v>5.2966540000000011</v>
      </c>
    </row>
    <row r="224" spans="1:18" x14ac:dyDescent="0.25">
      <c r="A224" t="s">
        <v>27</v>
      </c>
      <c r="B224" t="str">
        <f t="shared" ref="B224" si="471">IF($G223="","Hide","Show")</f>
        <v>Show</v>
      </c>
      <c r="H224" t="str">
        <f>"1 -1  lb"</f>
        <v>1 -1  lb</v>
      </c>
    </row>
    <row r="225" spans="1:18" x14ac:dyDescent="0.25">
      <c r="A225" t="s">
        <v>27</v>
      </c>
      <c r="B225" t="str">
        <f t="shared" si="416"/>
        <v>Show</v>
      </c>
      <c r="E225" s="1"/>
      <c r="F225" t="str">
        <f>"""Ceres4"",""TCP-LIVE"",""27"",""1"",""P420011"""</f>
        <v>"Ceres4","TCP-LIVE","27","1","P420011"</v>
      </c>
      <c r="G225" t="str">
        <f>"P420011"</f>
        <v>P420011</v>
      </c>
      <c r="H225" t="str">
        <f>"Protein - Bacon"</f>
        <v>Protein - Bacon</v>
      </c>
      <c r="I225" s="5" t="str">
        <f>"BOX"</f>
        <v>BOX</v>
      </c>
      <c r="J225" s="5">
        <v>20</v>
      </c>
      <c r="K225" s="5">
        <v>0</v>
      </c>
      <c r="L225" t="str">
        <f t="shared" ref="L225" si="472">IFERROR(IF(K225*J225=0,"0",K225*J225),0)</f>
        <v>0</v>
      </c>
      <c r="M225" s="5">
        <v>0</v>
      </c>
      <c r="N225" t="str">
        <f t="shared" ref="N225" si="473">IF(M225*J225=0,"0",M225*J225)</f>
        <v>0</v>
      </c>
      <c r="O225" s="5">
        <v>1.2</v>
      </c>
      <c r="P225" s="5">
        <v>38.68</v>
      </c>
      <c r="Q225" s="5">
        <f t="shared" ref="Q225" si="474">P225*O225</f>
        <v>46.415999999999997</v>
      </c>
      <c r="R225" s="6">
        <f t="shared" ref="R225" si="475">IFERROR(Q225+N225+L225,"")</f>
        <v>46.415999999999997</v>
      </c>
    </row>
    <row r="226" spans="1:18" x14ac:dyDescent="0.25">
      <c r="A226" t="s">
        <v>27</v>
      </c>
      <c r="B226" t="str">
        <f t="shared" ref="B226" si="476">IF($G225="","Hide","Show")</f>
        <v>Show</v>
      </c>
      <c r="H226" t="str">
        <f>"20 lb box"</f>
        <v>20 lb box</v>
      </c>
    </row>
    <row r="227" spans="1:18" x14ac:dyDescent="0.25">
      <c r="A227" t="s">
        <v>27</v>
      </c>
      <c r="B227" t="str">
        <f t="shared" si="416"/>
        <v>Show</v>
      </c>
      <c r="E227" s="1"/>
      <c r="F227" t="str">
        <f>"""Ceres4"",""TCP-LIVE"",""27"",""1"",""P429991"""</f>
        <v>"Ceres4","TCP-LIVE","27","1","P429991"</v>
      </c>
      <c r="G227" t="str">
        <f>"P429991"</f>
        <v>P429991</v>
      </c>
      <c r="H227" t="str">
        <f>"Protein - Chicken Wing Bufflo Jumbo 1 and 2 JT"</f>
        <v>Protein - Chicken Wing Bufflo Jumbo 1 and 2 JT</v>
      </c>
      <c r="I227" s="5" t="str">
        <f>"BAG"</f>
        <v>BAG</v>
      </c>
      <c r="J227" s="5">
        <v>5</v>
      </c>
      <c r="K227" s="5">
        <v>0</v>
      </c>
      <c r="L227" t="str">
        <f t="shared" ref="L227" si="477">IFERROR(IF(K227*J227=0,"0",K227*J227),0)</f>
        <v>0</v>
      </c>
      <c r="M227" s="5">
        <v>0</v>
      </c>
      <c r="N227" t="str">
        <f t="shared" ref="N227" si="478">IF(M227*J227=0,"0",M227*J227)</f>
        <v>0</v>
      </c>
      <c r="O227" s="5">
        <v>1.1000000000000001</v>
      </c>
      <c r="P227" s="5">
        <v>21.795999999999999</v>
      </c>
      <c r="Q227" s="5">
        <f t="shared" ref="Q227" si="479">P227*O227</f>
        <v>23.9756</v>
      </c>
      <c r="R227" s="6">
        <f t="shared" ref="R227" si="480">IFERROR(Q227+N227+L227,"")</f>
        <v>23.9756</v>
      </c>
    </row>
    <row r="228" spans="1:18" x14ac:dyDescent="0.25">
      <c r="A228" t="s">
        <v>27</v>
      </c>
      <c r="B228" t="str">
        <f t="shared" ref="B228" si="481">IF($G227="","Hide","Show")</f>
        <v>Show</v>
      </c>
      <c r="H228" t="str">
        <f>"1 - 5 lb"</f>
        <v>1 - 5 lb</v>
      </c>
    </row>
    <row r="229" spans="1:18" x14ac:dyDescent="0.25">
      <c r="A229" t="s">
        <v>27</v>
      </c>
      <c r="B229" t="str">
        <f t="shared" si="416"/>
        <v>Show</v>
      </c>
      <c r="E229" s="1"/>
      <c r="F229" t="str">
        <f>"""Ceres4"",""TCP-LIVE"",""27"",""1"",""P439988"""</f>
        <v>"Ceres4","TCP-LIVE","27","1","P439988"</v>
      </c>
      <c r="G229" t="str">
        <f>"P439988"</f>
        <v>P439988</v>
      </c>
      <c r="H229" t="str">
        <f>"Protein - Sliced Ham Deli "</f>
        <v xml:space="preserve">Protein - Sliced Ham Deli </v>
      </c>
      <c r="I229" s="5" t="str">
        <f>"EA"</f>
        <v>EA</v>
      </c>
      <c r="J229" s="5">
        <v>3</v>
      </c>
      <c r="K229" s="5">
        <v>0</v>
      </c>
      <c r="L229" t="str">
        <f t="shared" ref="L229" si="482">IFERROR(IF(K229*J229=0,"0",K229*J229),0)</f>
        <v>0</v>
      </c>
      <c r="M229" s="5">
        <v>0</v>
      </c>
      <c r="N229" t="str">
        <f t="shared" ref="N229" si="483">IF(M229*J229=0,"0",M229*J229)</f>
        <v>0</v>
      </c>
      <c r="O229" s="5">
        <v>1.1000000000000001</v>
      </c>
      <c r="P229" s="5">
        <v>6.0949999999999998</v>
      </c>
      <c r="Q229" s="5">
        <f t="shared" ref="Q229" si="484">P229*O229</f>
        <v>6.7045000000000003</v>
      </c>
      <c r="R229" s="6">
        <f t="shared" ref="R229" si="485">IFERROR(Q229+N229+L229,"")</f>
        <v>6.7045000000000003</v>
      </c>
    </row>
    <row r="230" spans="1:18" x14ac:dyDescent="0.25">
      <c r="A230" t="s">
        <v>27</v>
      </c>
      <c r="B230" t="str">
        <f t="shared" ref="B230" si="486">IF($G229="","Hide","Show")</f>
        <v>Show</v>
      </c>
      <c r="H230" t="str">
        <f>"1 - 3 lb"</f>
        <v>1 - 3 lb</v>
      </c>
    </row>
    <row r="231" spans="1:18" x14ac:dyDescent="0.25">
      <c r="A231" t="s">
        <v>27</v>
      </c>
      <c r="B231" t="str">
        <f t="shared" si="416"/>
        <v>Show</v>
      </c>
      <c r="E231" s="1"/>
      <c r="F231" t="str">
        <f>"""Ceres4"",""TCP-LIVE"",""27"",""1"",""P439989"""</f>
        <v>"Ceres4","TCP-LIVE","27","1","P439989"</v>
      </c>
      <c r="G231" t="str">
        <f>"P439989"</f>
        <v>P439989</v>
      </c>
      <c r="H231" t="str">
        <f>"Protein- Ham pieces"</f>
        <v>Protein- Ham pieces</v>
      </c>
      <c r="I231" s="5" t="str">
        <f>"BAG"</f>
        <v>BAG</v>
      </c>
      <c r="J231" s="5">
        <v>5</v>
      </c>
      <c r="K231" s="5">
        <v>0</v>
      </c>
      <c r="L231" t="str">
        <f t="shared" ref="L231" si="487">IFERROR(IF(K231*J231=0,"0",K231*J231),0)</f>
        <v>0</v>
      </c>
      <c r="M231" s="5">
        <v>0</v>
      </c>
      <c r="N231" t="str">
        <f t="shared" ref="N231" si="488">IF(M231*J231=0,"0",M231*J231)</f>
        <v>0</v>
      </c>
      <c r="O231" s="5">
        <v>1.05</v>
      </c>
      <c r="P231" s="5">
        <v>11.772499999999999</v>
      </c>
      <c r="Q231" s="5">
        <f t="shared" ref="Q231" si="489">P231*O231</f>
        <v>12.361124999999999</v>
      </c>
      <c r="R231" s="6">
        <f t="shared" ref="R231" si="490">IFERROR(Q231+N231+L231,"")</f>
        <v>12.361124999999999</v>
      </c>
    </row>
    <row r="232" spans="1:18" x14ac:dyDescent="0.25">
      <c r="A232" t="s">
        <v>27</v>
      </c>
      <c r="B232" t="str">
        <f t="shared" ref="B232" si="491">IF($G231="","Hide","Show")</f>
        <v>Show</v>
      </c>
      <c r="H232" t="str">
        <f>"1-5 lb bag"</f>
        <v>1-5 lb bag</v>
      </c>
    </row>
    <row r="233" spans="1:18" x14ac:dyDescent="0.25">
      <c r="A233" t="s">
        <v>27</v>
      </c>
      <c r="B233" t="str">
        <f t="shared" si="416"/>
        <v>Show</v>
      </c>
      <c r="E233" s="1"/>
      <c r="F233" t="str">
        <f>"""Ceres4"",""TCP-LIVE"",""27"",""1"",""P440002"""</f>
        <v>"Ceres4","TCP-LIVE","27","1","P440002"</v>
      </c>
      <c r="G233" t="str">
        <f>"P440002"</f>
        <v>P440002</v>
      </c>
      <c r="H233" t="str">
        <f>"Protein - Chicken Drumstick Cooked"</f>
        <v>Protein - Chicken Drumstick Cooked</v>
      </c>
      <c r="I233" s="5" t="str">
        <f>"BOX"</f>
        <v>BOX</v>
      </c>
      <c r="J233" s="5">
        <v>10</v>
      </c>
      <c r="K233" s="5">
        <v>0</v>
      </c>
      <c r="L233" t="str">
        <f t="shared" ref="L233" si="492">IFERROR(IF(K233*J233=0,"0",K233*J233),0)</f>
        <v>0</v>
      </c>
      <c r="M233" s="5">
        <v>0</v>
      </c>
      <c r="N233" t="str">
        <f t="shared" ref="N233" si="493">IF(M233*J233=0,"0",M233*J233)</f>
        <v>0</v>
      </c>
      <c r="O233" s="5">
        <v>1.1000000000000001</v>
      </c>
      <c r="P233" s="5">
        <v>24.675000000000001</v>
      </c>
      <c r="Q233" s="5">
        <f t="shared" ref="Q233" si="494">P233*O233</f>
        <v>27.142500000000002</v>
      </c>
      <c r="R233" s="6">
        <f t="shared" ref="R233" si="495">IFERROR(Q233+N233+L233,"")</f>
        <v>27.142500000000002</v>
      </c>
    </row>
    <row r="234" spans="1:18" x14ac:dyDescent="0.25">
      <c r="A234" t="s">
        <v>27</v>
      </c>
      <c r="B234" t="str">
        <f t="shared" ref="B234" si="496">IF($G233="","Hide","Show")</f>
        <v>Show</v>
      </c>
      <c r="H234" t="str">
        <f>"2- 5 lb bags"</f>
        <v>2- 5 lb bags</v>
      </c>
    </row>
    <row r="235" spans="1:18" x14ac:dyDescent="0.25">
      <c r="A235" t="s">
        <v>27</v>
      </c>
      <c r="B235" t="str">
        <f t="shared" si="416"/>
        <v>Show</v>
      </c>
      <c r="E235" s="1"/>
      <c r="F235" t="str">
        <f>"""Ceres4"",""TCP-LIVE"",""27"",""1"",""P440003"""</f>
        <v>"Ceres4","TCP-LIVE","27","1","P440003"</v>
      </c>
      <c r="G235" t="str">
        <f>"P440003"</f>
        <v>P440003</v>
      </c>
      <c r="H235" t="str">
        <f>"Protein - Chicken Breast"</f>
        <v>Protein - Chicken Breast</v>
      </c>
      <c r="I235" s="5" t="str">
        <f>"CS"</f>
        <v>CS</v>
      </c>
      <c r="J235" s="5">
        <v>2</v>
      </c>
      <c r="K235" s="5">
        <v>0</v>
      </c>
      <c r="L235" t="str">
        <f t="shared" ref="L235" si="497">IFERROR(IF(K235*J235=0,"0",K235*J235),0)</f>
        <v>0</v>
      </c>
      <c r="M235" s="5">
        <v>0</v>
      </c>
      <c r="N235" t="str">
        <f t="shared" ref="N235" si="498">IF(M235*J235=0,"0",M235*J235)</f>
        <v>0</v>
      </c>
      <c r="O235" s="5">
        <v>1</v>
      </c>
      <c r="P235" s="5">
        <v>10.341180000000001</v>
      </c>
      <c r="Q235" s="5">
        <f t="shared" ref="Q235" si="499">P235*O235</f>
        <v>10.341180000000001</v>
      </c>
      <c r="R235" s="6">
        <f t="shared" ref="R235" si="500">IFERROR(Q235+N235+L235,"")</f>
        <v>10.341180000000001</v>
      </c>
    </row>
    <row r="236" spans="1:18" x14ac:dyDescent="0.25">
      <c r="A236" t="s">
        <v>27</v>
      </c>
      <c r="B236" t="str">
        <f t="shared" ref="B236" si="501">IF($G235="","Hide","Show")</f>
        <v>Show</v>
      </c>
      <c r="H236" t="str">
        <f>"8- 4 oz"</f>
        <v>8- 4 oz</v>
      </c>
    </row>
    <row r="237" spans="1:18" x14ac:dyDescent="0.25">
      <c r="A237" t="s">
        <v>27</v>
      </c>
      <c r="B237" t="str">
        <f t="shared" si="416"/>
        <v>Show</v>
      </c>
      <c r="E237" s="1"/>
      <c r="F237" t="str">
        <f>"""Ceres4"",""TCP-LIVE"",""27"",""1"",""P440020"""</f>
        <v>"Ceres4","TCP-LIVE","27","1","P440020"</v>
      </c>
      <c r="G237" t="str">
        <f>"P440020"</f>
        <v>P440020</v>
      </c>
      <c r="H237" t="str">
        <f>"Protein - Corn Dogs"</f>
        <v>Protein - Corn Dogs</v>
      </c>
      <c r="I237" s="5" t="str">
        <f>"BAG"</f>
        <v>BAG</v>
      </c>
      <c r="J237" s="5">
        <v>1</v>
      </c>
      <c r="K237" s="5">
        <v>0</v>
      </c>
      <c r="L237" t="str">
        <f t="shared" ref="L237" si="502">IFERROR(IF(K237*J237=0,"0",K237*J237),0)</f>
        <v>0</v>
      </c>
      <c r="M237" s="5">
        <v>0</v>
      </c>
      <c r="N237" t="str">
        <f t="shared" ref="N237" si="503">IF(M237*J237=0,"0",M237*J237)</f>
        <v>0</v>
      </c>
      <c r="O237" s="5">
        <v>1.1000000000000001</v>
      </c>
      <c r="P237" s="5">
        <v>2.6802000000000001</v>
      </c>
      <c r="Q237" s="5">
        <f t="shared" ref="Q237" si="504">P237*O237</f>
        <v>2.9482200000000005</v>
      </c>
      <c r="R237" s="6">
        <f t="shared" ref="R237" si="505">IFERROR(Q237+N237+L237,"")</f>
        <v>2.9482200000000005</v>
      </c>
    </row>
    <row r="238" spans="1:18" x14ac:dyDescent="0.25">
      <c r="A238" t="s">
        <v>27</v>
      </c>
      <c r="B238" t="str">
        <f t="shared" ref="B238" si="506">IF($G237="","Hide","Show")</f>
        <v>Show</v>
      </c>
      <c r="H238" t="str">
        <f>"6 corn dogs   repack item"</f>
        <v>6 corn dogs   repack item</v>
      </c>
    </row>
    <row r="239" spans="1:18" x14ac:dyDescent="0.25">
      <c r="A239" t="s">
        <v>27</v>
      </c>
      <c r="B239" t="str">
        <f t="shared" si="416"/>
        <v>Show</v>
      </c>
      <c r="E239" s="1"/>
      <c r="F239" t="str">
        <f>"""Ceres4"",""TCP-LIVE"",""27"",""1"",""P440034"""</f>
        <v>"Ceres4","TCP-LIVE","27","1","P440034"</v>
      </c>
      <c r="G239" t="str">
        <f>"P440034"</f>
        <v>P440034</v>
      </c>
      <c r="H239" t="str">
        <f>"Protein - Chicken Leg Quarters"</f>
        <v>Protein - Chicken Leg Quarters</v>
      </c>
      <c r="I239" s="5" t="str">
        <f>"BAG"</f>
        <v>BAG</v>
      </c>
      <c r="J239" s="5">
        <v>10</v>
      </c>
      <c r="K239" s="5">
        <v>0</v>
      </c>
      <c r="L239" t="str">
        <f t="shared" ref="L239" si="507">IFERROR(IF(K239*J239=0,"0",K239*J239),0)</f>
        <v>0</v>
      </c>
      <c r="M239" s="5">
        <v>0</v>
      </c>
      <c r="N239" t="str">
        <f t="shared" ref="N239" si="508">IF(M239*J239=0,"0",M239*J239)</f>
        <v>0</v>
      </c>
      <c r="O239" s="5">
        <v>1.1000000000000001</v>
      </c>
      <c r="P239" s="5">
        <v>6.6150000000000002</v>
      </c>
      <c r="Q239" s="5">
        <f t="shared" ref="Q239" si="509">P239*O239</f>
        <v>7.2765000000000004</v>
      </c>
      <c r="R239" s="6">
        <f t="shared" ref="R239" si="510">IFERROR(Q239+N239+L239,"")</f>
        <v>7.2765000000000004</v>
      </c>
    </row>
    <row r="240" spans="1:18" x14ac:dyDescent="0.25">
      <c r="A240" t="s">
        <v>27</v>
      </c>
      <c r="B240" t="str">
        <f t="shared" ref="B240" si="511">IF($G239="","Hide","Show")</f>
        <v>Show</v>
      </c>
      <c r="H240" t="str">
        <f>"10 lb bag"</f>
        <v>10 lb bag</v>
      </c>
    </row>
    <row r="241" spans="1:18" x14ac:dyDescent="0.25">
      <c r="A241" t="s">
        <v>27</v>
      </c>
      <c r="B241" t="str">
        <f t="shared" si="416"/>
        <v>Show</v>
      </c>
      <c r="E241" s="1"/>
      <c r="F241" t="str">
        <f>"""Ceres4"",""TCP-LIVE"",""27"",""1"",""P441000"""</f>
        <v>"Ceres4","TCP-LIVE","27","1","P441000"</v>
      </c>
      <c r="G241" t="str">
        <f>"P441000"</f>
        <v>P441000</v>
      </c>
      <c r="H241" t="str">
        <f>"Protein-Chicken Nuggets"</f>
        <v>Protein-Chicken Nuggets</v>
      </c>
      <c r="I241" s="5" t="str">
        <f>"BOX"</f>
        <v>BOX</v>
      </c>
      <c r="J241" s="5">
        <v>10</v>
      </c>
      <c r="K241" s="5">
        <v>0</v>
      </c>
      <c r="L241" t="str">
        <f t="shared" ref="L241" si="512">IFERROR(IF(K241*J241=0,"0",K241*J241),0)</f>
        <v>0</v>
      </c>
      <c r="M241" s="5">
        <v>0</v>
      </c>
      <c r="N241" t="str">
        <f t="shared" ref="N241" si="513">IF(M241*J241=0,"0",M241*J241)</f>
        <v>0</v>
      </c>
      <c r="O241" s="5">
        <v>1.1499999999999999</v>
      </c>
      <c r="P241" s="5">
        <v>22.793330000000001</v>
      </c>
      <c r="Q241" s="5">
        <f t="shared" ref="Q241" si="514">P241*O241</f>
        <v>26.212329499999999</v>
      </c>
      <c r="R241" s="6">
        <f t="shared" ref="R241" si="515">IFERROR(Q241+N241+L241,"")</f>
        <v>26.212329499999999</v>
      </c>
    </row>
    <row r="242" spans="1:18" x14ac:dyDescent="0.25">
      <c r="A242" t="s">
        <v>27</v>
      </c>
      <c r="B242" t="str">
        <f t="shared" ref="B242" si="516">IF($G241="","Hide","Show")</f>
        <v>Show</v>
      </c>
      <c r="H242" t="str">
        <f>"2-5 lb bags"</f>
        <v>2-5 lb bags</v>
      </c>
    </row>
    <row r="243" spans="1:18" x14ac:dyDescent="0.25">
      <c r="A243" t="s">
        <v>27</v>
      </c>
      <c r="B243" t="str">
        <f t="shared" si="416"/>
        <v>Show</v>
      </c>
      <c r="E243" s="1"/>
      <c r="F243" t="str">
        <f>"""Ceres4"",""TCP-LIVE"",""27"",""1"",""P449990"""</f>
        <v>"Ceres4","TCP-LIVE","27","1","P449990"</v>
      </c>
      <c r="G243" t="str">
        <f>"P449990"</f>
        <v>P449990</v>
      </c>
      <c r="H243" t="str">
        <f>"Protein - Chicken Wings Smoked 1 and 2 JT "</f>
        <v xml:space="preserve">Protein - Chicken Wings Smoked 1 and 2 JT </v>
      </c>
      <c r="I243" s="5" t="str">
        <f>"BAG"</f>
        <v>BAG</v>
      </c>
      <c r="J243" s="5">
        <v>5</v>
      </c>
      <c r="K243" s="5">
        <v>0</v>
      </c>
      <c r="L243" t="str">
        <f t="shared" ref="L243" si="517">IFERROR(IF(K243*J243=0,"0",K243*J243),0)</f>
        <v>0</v>
      </c>
      <c r="M243" s="5">
        <v>0</v>
      </c>
      <c r="N243" t="str">
        <f t="shared" ref="N243" si="518">IF(M243*J243=0,"0",M243*J243)</f>
        <v>0</v>
      </c>
      <c r="O243" s="5">
        <v>1.1000000000000001</v>
      </c>
      <c r="P243" s="5">
        <v>24.529999999999998</v>
      </c>
      <c r="Q243" s="5">
        <f t="shared" ref="Q243" si="519">P243*O243</f>
        <v>26.983000000000001</v>
      </c>
      <c r="R243" s="6">
        <f t="shared" ref="R243" si="520">IFERROR(Q243+N243+L243,"")</f>
        <v>26.983000000000001</v>
      </c>
    </row>
    <row r="244" spans="1:18" x14ac:dyDescent="0.25">
      <c r="A244" t="s">
        <v>27</v>
      </c>
      <c r="B244" t="str">
        <f t="shared" ref="B244" si="521">IF($G243="","Hide","Show")</f>
        <v>Show</v>
      </c>
      <c r="H244" t="str">
        <f>"1- 5 lb bag"</f>
        <v>1- 5 lb bag</v>
      </c>
    </row>
    <row r="245" spans="1:18" x14ac:dyDescent="0.25">
      <c r="A245" t="s">
        <v>27</v>
      </c>
      <c r="B245" t="str">
        <f t="shared" si="416"/>
        <v>Show</v>
      </c>
      <c r="E245" s="1"/>
      <c r="F245" t="str">
        <f>"""Ceres4"",""TCP-LIVE"",""27"",""1"",""P449996"""</f>
        <v>"Ceres4","TCP-LIVE","27","1","P449996"</v>
      </c>
      <c r="G245" t="str">
        <f>"P449996"</f>
        <v>P449996</v>
      </c>
      <c r="H245" t="str">
        <f>"Protein-Chuck White Chicken"</f>
        <v>Protein-Chuck White Chicken</v>
      </c>
      <c r="I245" s="5" t="str">
        <f>"CS"</f>
        <v>CS</v>
      </c>
      <c r="J245" s="5">
        <v>8</v>
      </c>
      <c r="K245" s="5">
        <v>0</v>
      </c>
      <c r="L245" t="str">
        <f t="shared" ref="L245" si="522">IFERROR(IF(K245*J245=0,"0",K245*J245),0)</f>
        <v>0</v>
      </c>
      <c r="M245" s="5">
        <v>0</v>
      </c>
      <c r="N245" t="str">
        <f t="shared" ref="N245" si="523">IF(M245*J245=0,"0",M245*J245)</f>
        <v>0</v>
      </c>
      <c r="O245" s="5">
        <v>1.2</v>
      </c>
      <c r="P245" s="5">
        <v>15.7</v>
      </c>
      <c r="Q245" s="5">
        <f t="shared" ref="Q245" si="524">P245*O245</f>
        <v>18.84</v>
      </c>
      <c r="R245" s="6">
        <f t="shared" ref="R245" si="525">IFERROR(Q245+N245+L245,"")</f>
        <v>18.84</v>
      </c>
    </row>
    <row r="246" spans="1:18" x14ac:dyDescent="0.25">
      <c r="A246" t="s">
        <v>27</v>
      </c>
      <c r="B246" t="str">
        <f t="shared" ref="B246" si="526">IF($G245="","Hide","Show")</f>
        <v>Show</v>
      </c>
      <c r="H246" t="str">
        <f>"24-5 oz"</f>
        <v>24-5 oz</v>
      </c>
    </row>
    <row r="247" spans="1:18" x14ac:dyDescent="0.25">
      <c r="A247" t="s">
        <v>27</v>
      </c>
      <c r="B247" t="str">
        <f t="shared" si="416"/>
        <v>Show</v>
      </c>
      <c r="E247" s="1"/>
      <c r="F247" t="str">
        <f>"""Ceres4"",""TCP-LIVE"",""27"",""1"",""P450000"""</f>
        <v>"Ceres4","TCP-LIVE","27","1","P450000"</v>
      </c>
      <c r="G247" t="str">
        <f>"P450000"</f>
        <v>P450000</v>
      </c>
      <c r="H247" t="str">
        <f>"Protein - Turkeys "</f>
        <v xml:space="preserve">Protein - Turkeys </v>
      </c>
      <c r="I247" s="5" t="str">
        <f>"EA"</f>
        <v>EA</v>
      </c>
      <c r="J247" s="5">
        <v>13</v>
      </c>
      <c r="K247" s="5">
        <v>0</v>
      </c>
      <c r="L247" t="str">
        <f t="shared" ref="L247" si="527">IFERROR(IF(K247*J247=0,"0",K247*J247),0)</f>
        <v>0</v>
      </c>
      <c r="M247" s="5">
        <v>0</v>
      </c>
      <c r="N247" t="str">
        <f t="shared" ref="N247" si="528">IF(M247*J247=0,"0",M247*J247)</f>
        <v>0</v>
      </c>
      <c r="O247" s="5">
        <v>1.1000000000000001</v>
      </c>
      <c r="P247" s="5">
        <v>16.2</v>
      </c>
      <c r="Q247" s="5">
        <f t="shared" ref="Q247" si="529">P247*O247</f>
        <v>17.82</v>
      </c>
      <c r="R247" s="6">
        <f t="shared" ref="R247" si="530">IFERROR(Q247+N247+L247,"")</f>
        <v>17.82</v>
      </c>
    </row>
    <row r="248" spans="1:18" x14ac:dyDescent="0.25">
      <c r="A248" t="s">
        <v>27</v>
      </c>
      <c r="B248" t="str">
        <f t="shared" ref="B248" si="531">IF($G247="","Hide","Show")</f>
        <v>Show</v>
      </c>
      <c r="H248" t="str">
        <f>"1- 13 lb "</f>
        <v xml:space="preserve">1- 13 lb </v>
      </c>
    </row>
    <row r="249" spans="1:18" x14ac:dyDescent="0.25">
      <c r="A249" t="s">
        <v>27</v>
      </c>
      <c r="B249" t="str">
        <f t="shared" si="416"/>
        <v>Show</v>
      </c>
      <c r="E249" s="1"/>
      <c r="F249" t="str">
        <f>"""Ceres4"",""TCP-LIVE"",""27"",""1"",""P480007"""</f>
        <v>"Ceres4","TCP-LIVE","27","1","P480007"</v>
      </c>
      <c r="G249" t="str">
        <f>"P480007"</f>
        <v>P480007</v>
      </c>
      <c r="H249" t="str">
        <f>"Protein - Sliced Turkey Breast Sandwich meat"</f>
        <v>Protein - Sliced Turkey Breast Sandwich meat</v>
      </c>
      <c r="I249" s="5" t="str">
        <f>"EA"</f>
        <v>EA</v>
      </c>
      <c r="J249" s="5">
        <v>2</v>
      </c>
      <c r="K249" s="5">
        <v>0</v>
      </c>
      <c r="L249" t="str">
        <f t="shared" ref="L249" si="532">IFERROR(IF(K249*J249=0,"0",K249*J249),0)</f>
        <v>0</v>
      </c>
      <c r="M249" s="5">
        <v>0</v>
      </c>
      <c r="N249" t="str">
        <f t="shared" ref="N249" si="533">IF(M249*J249=0,"0",M249*J249)</f>
        <v>0</v>
      </c>
      <c r="O249" s="5">
        <v>1.1000000000000001</v>
      </c>
      <c r="P249" s="5">
        <v>9.3615999999999993</v>
      </c>
      <c r="Q249" s="5">
        <f t="shared" ref="Q249" si="534">P249*O249</f>
        <v>10.29776</v>
      </c>
      <c r="R249" s="6">
        <f t="shared" ref="R249" si="535">IFERROR(Q249+N249+L249,"")</f>
        <v>10.29776</v>
      </c>
    </row>
    <row r="250" spans="1:18" x14ac:dyDescent="0.25">
      <c r="A250" t="s">
        <v>27</v>
      </c>
      <c r="B250" t="str">
        <f t="shared" ref="B250" si="536">IF($G249="","Hide","Show")</f>
        <v>Show</v>
      </c>
      <c r="H250" t="str">
        <f>"1-2 lb "</f>
        <v xml:space="preserve">1-2 lb </v>
      </c>
    </row>
    <row r="251" spans="1:18" x14ac:dyDescent="0.25">
      <c r="A251" t="s">
        <v>27</v>
      </c>
      <c r="B251" t="str">
        <f t="shared" ref="B251" si="537">IF($G203="","Hide","Show")</f>
        <v>Show</v>
      </c>
    </row>
    <row r="252" spans="1:18" ht="17.25" x14ac:dyDescent="0.3">
      <c r="A252" t="s">
        <v>27</v>
      </c>
      <c r="B252" t="str">
        <f t="shared" ref="B252" si="538">IF($G253="","Hide","Show")</f>
        <v>Show</v>
      </c>
      <c r="C252" t="str">
        <f>"""Ceres4"",""TCP-LIVE"",""14012281"",""1"",""PRO-NON"""</f>
        <v>"Ceres4","TCP-LIVE","14012281","1","PRO-NON"</v>
      </c>
      <c r="D252" t="s">
        <v>57</v>
      </c>
      <c r="E252" s="9" t="s">
        <v>10</v>
      </c>
      <c r="F252" s="2"/>
      <c r="G252" s="8" t="s">
        <v>64</v>
      </c>
    </row>
    <row r="253" spans="1:18" x14ac:dyDescent="0.25">
      <c r="A253" t="s">
        <v>27</v>
      </c>
      <c r="B253" t="str">
        <f t="shared" ref="B253:B263" si="539">IF($G253="","Hide","Show")</f>
        <v>Show</v>
      </c>
      <c r="E253" s="1"/>
      <c r="F253" t="s">
        <v>88</v>
      </c>
      <c r="G253" t="str">
        <f>"P250049"</f>
        <v>P250049</v>
      </c>
      <c r="H253" t="str">
        <f>"Entree - Pork and Beans"</f>
        <v>Entree - Pork and Beans</v>
      </c>
      <c r="I253" s="5" t="str">
        <f>"CS"</f>
        <v>CS</v>
      </c>
      <c r="J253" s="5">
        <v>26</v>
      </c>
      <c r="K253" s="5">
        <v>0</v>
      </c>
      <c r="L253" t="str">
        <f t="shared" ref="L253" si="540">IFERROR(IF(K253*J253=0,"0",K253*J253),0)</f>
        <v>0</v>
      </c>
      <c r="M253" s="5">
        <v>0</v>
      </c>
      <c r="N253" t="str">
        <f t="shared" ref="N253" si="541">IF(M253*J253=0,"0",M253*J253)</f>
        <v>0</v>
      </c>
      <c r="O253" s="5">
        <v>1.1499999999999999</v>
      </c>
      <c r="P253" s="5">
        <v>15.23</v>
      </c>
      <c r="Q253" s="5">
        <f t="shared" ref="Q253" si="542">P253*O253</f>
        <v>17.514499999999998</v>
      </c>
      <c r="R253" s="6">
        <f t="shared" ref="R253" si="543">IFERROR(Q253+N253+L253,"")</f>
        <v>17.514499999999998</v>
      </c>
    </row>
    <row r="254" spans="1:18" x14ac:dyDescent="0.25">
      <c r="A254" t="s">
        <v>27</v>
      </c>
      <c r="B254" t="str">
        <f t="shared" ref="B254" si="544">IF($G253="","Hide","Show")</f>
        <v>Show</v>
      </c>
      <c r="H254" t="str">
        <f>"24-15 oz"</f>
        <v>24-15 oz</v>
      </c>
    </row>
    <row r="255" spans="1:18" x14ac:dyDescent="0.25">
      <c r="A255" t="s">
        <v>27</v>
      </c>
      <c r="B255" t="str">
        <f t="shared" si="539"/>
        <v>Show</v>
      </c>
      <c r="E255" s="1"/>
      <c r="F255" t="str">
        <f>"""Ceres4"",""TCP-LIVE"",""27"",""1"",""P490012"""</f>
        <v>"Ceres4","TCP-LIVE","27","1","P490012"</v>
      </c>
      <c r="G255" t="str">
        <f>"P490012"</f>
        <v>P490012</v>
      </c>
      <c r="H255" t="str">
        <f>"Protein - Crunchy Peanut Butter"</f>
        <v>Protein - Crunchy Peanut Butter</v>
      </c>
      <c r="I255" s="5" t="str">
        <f>"CS"</f>
        <v>CS</v>
      </c>
      <c r="J255" s="5">
        <v>21</v>
      </c>
      <c r="K255" s="5">
        <v>0</v>
      </c>
      <c r="L255" t="str">
        <f t="shared" ref="L255" si="545">IFERROR(IF(K255*J255=0,"0",K255*J255),0)</f>
        <v>0</v>
      </c>
      <c r="M255" s="5">
        <v>0</v>
      </c>
      <c r="N255" t="str">
        <f t="shared" ref="N255" si="546">IF(M255*J255=0,"0",M255*J255)</f>
        <v>0</v>
      </c>
      <c r="O255" s="5">
        <v>1.2</v>
      </c>
      <c r="P255" s="5">
        <v>16.73</v>
      </c>
      <c r="Q255" s="5">
        <f t="shared" ref="Q255" si="547">P255*O255</f>
        <v>20.076000000000001</v>
      </c>
      <c r="R255" s="6">
        <f t="shared" ref="R255" si="548">IFERROR(Q255+N255+L255,"")</f>
        <v>20.076000000000001</v>
      </c>
    </row>
    <row r="256" spans="1:18" x14ac:dyDescent="0.25">
      <c r="A256" t="s">
        <v>27</v>
      </c>
      <c r="B256" t="str">
        <f t="shared" ref="B256" si="549">IF($G255="","Hide","Show")</f>
        <v>Show</v>
      </c>
      <c r="H256" t="str">
        <f>"12-28 oz"</f>
        <v>12-28 oz</v>
      </c>
    </row>
    <row r="257" spans="1:18" x14ac:dyDescent="0.25">
      <c r="A257" t="s">
        <v>27</v>
      </c>
      <c r="B257" t="str">
        <f t="shared" si="539"/>
        <v>Show</v>
      </c>
      <c r="E257" s="1"/>
      <c r="F257" t="str">
        <f>"""Ceres4"",""TCP-LIVE"",""27"",""1"",""P490017"""</f>
        <v>"Ceres4","TCP-LIVE","27","1","P490017"</v>
      </c>
      <c r="G257" t="str">
        <f>"P490017"</f>
        <v>P490017</v>
      </c>
      <c r="H257" t="str">
        <f>"Protein-Smooth Peanut Butter"</f>
        <v>Protein-Smooth Peanut Butter</v>
      </c>
      <c r="I257" s="5" t="str">
        <f>"CS"</f>
        <v>CS</v>
      </c>
      <c r="J257" s="5">
        <v>10</v>
      </c>
      <c r="K257" s="5">
        <v>0</v>
      </c>
      <c r="L257" t="str">
        <f t="shared" ref="L257" si="550">IFERROR(IF(K257*J257=0,"0",K257*J257),0)</f>
        <v>0</v>
      </c>
      <c r="M257" s="5">
        <v>0</v>
      </c>
      <c r="N257" t="str">
        <f t="shared" ref="N257" si="551">IF(M257*J257=0,"0",M257*J257)</f>
        <v>0</v>
      </c>
      <c r="O257" s="5">
        <v>1.2</v>
      </c>
      <c r="P257" s="5">
        <v>9.31</v>
      </c>
      <c r="Q257" s="5">
        <f t="shared" ref="Q257" si="552">P257*O257</f>
        <v>11.172000000000001</v>
      </c>
      <c r="R257" s="6">
        <f t="shared" ref="R257" si="553">IFERROR(Q257+N257+L257,"")</f>
        <v>11.172000000000001</v>
      </c>
    </row>
    <row r="258" spans="1:18" x14ac:dyDescent="0.25">
      <c r="A258" t="s">
        <v>27</v>
      </c>
      <c r="B258" t="str">
        <f t="shared" ref="B258" si="554">IF($G257="","Hide","Show")</f>
        <v>Show</v>
      </c>
      <c r="H258" t="str">
        <f>"12/12 oz"</f>
        <v>12/12 oz</v>
      </c>
    </row>
    <row r="259" spans="1:18" x14ac:dyDescent="0.25">
      <c r="A259" t="s">
        <v>27</v>
      </c>
      <c r="B259" t="str">
        <f t="shared" si="539"/>
        <v>Show</v>
      </c>
      <c r="E259" s="1"/>
      <c r="F259" t="str">
        <f>"""Ceres4"",""TCP-LIVE"",""27"",""1"",""P490035"""</f>
        <v>"Ceres4","TCP-LIVE","27","1","P490035"</v>
      </c>
      <c r="G259" t="str">
        <f>"P490035"</f>
        <v>P490035</v>
      </c>
      <c r="H259" t="str">
        <f>"Protein - Pinto Brcho Seasoned Beans"</f>
        <v>Protein - Pinto Brcho Seasoned Beans</v>
      </c>
      <c r="I259" s="5" t="str">
        <f>"EA"</f>
        <v>EA</v>
      </c>
      <c r="J259" s="5">
        <v>7</v>
      </c>
      <c r="K259" s="5">
        <v>0</v>
      </c>
      <c r="L259" t="str">
        <f t="shared" ref="L259" si="555">IFERROR(IF(K259*J259=0,"0",K259*J259),0)</f>
        <v>0</v>
      </c>
      <c r="M259" s="5">
        <v>0</v>
      </c>
      <c r="N259" t="str">
        <f t="shared" ref="N259" si="556">IF(M259*J259=0,"0",M259*J259)</f>
        <v>0</v>
      </c>
      <c r="O259" s="5">
        <v>1.1000000000000001</v>
      </c>
      <c r="P259" s="5">
        <v>7.9224999999999994</v>
      </c>
      <c r="Q259" s="5">
        <f t="shared" ref="Q259" si="557">P259*O259</f>
        <v>8.7147500000000004</v>
      </c>
      <c r="R259" s="6">
        <f t="shared" ref="R259" si="558">IFERROR(Q259+N259+L259,"")</f>
        <v>8.7147500000000004</v>
      </c>
    </row>
    <row r="260" spans="1:18" x14ac:dyDescent="0.25">
      <c r="A260" t="s">
        <v>27</v>
      </c>
      <c r="B260" t="str">
        <f t="shared" ref="B260" si="559">IF($G259="","Hide","Show")</f>
        <v>Show</v>
      </c>
      <c r="H260" t="str">
        <f>"1-7 lb  can"</f>
        <v>1-7 lb  can</v>
      </c>
    </row>
    <row r="261" spans="1:18" x14ac:dyDescent="0.25">
      <c r="A261" t="s">
        <v>27</v>
      </c>
      <c r="B261" t="str">
        <f t="shared" si="539"/>
        <v>Show</v>
      </c>
      <c r="E261" s="1"/>
      <c r="F261" t="str">
        <f>"""Ceres4"",""TCP-LIVE"",""27"",""1"",""P490038"""</f>
        <v>"Ceres4","TCP-LIVE","27","1","P490038"</v>
      </c>
      <c r="G261" t="str">
        <f>"P490038"</f>
        <v>P490038</v>
      </c>
      <c r="H261" t="str">
        <f>"Protein - Refried Beans"</f>
        <v>Protein - Refried Beans</v>
      </c>
      <c r="I261" s="5" t="str">
        <f>"CS"</f>
        <v>CS</v>
      </c>
      <c r="J261" s="5">
        <v>23</v>
      </c>
      <c r="K261" s="5">
        <v>0</v>
      </c>
      <c r="L261" t="str">
        <f t="shared" ref="L261" si="560">IFERROR(IF(K261*J261=0,"0",K261*J261),0)</f>
        <v>0</v>
      </c>
      <c r="M261" s="5">
        <v>0</v>
      </c>
      <c r="N261" t="str">
        <f t="shared" ref="N261" si="561">IF(M261*J261=0,"0",M261*J261)</f>
        <v>0</v>
      </c>
      <c r="O261" s="5">
        <v>1.2</v>
      </c>
      <c r="P261" s="5">
        <v>10.8</v>
      </c>
      <c r="Q261" s="5">
        <f t="shared" ref="Q261" si="562">P261*O261</f>
        <v>12.96</v>
      </c>
      <c r="R261" s="6">
        <f t="shared" ref="R261" si="563">IFERROR(Q261+N261+L261,"")</f>
        <v>12.96</v>
      </c>
    </row>
    <row r="262" spans="1:18" x14ac:dyDescent="0.25">
      <c r="A262" t="s">
        <v>27</v>
      </c>
      <c r="B262" t="str">
        <f t="shared" ref="B262" si="564">IF($G261="","Hide","Show")</f>
        <v>Show</v>
      </c>
      <c r="H262" t="str">
        <f>"24-15 oz"</f>
        <v>24-15 oz</v>
      </c>
    </row>
    <row r="263" spans="1:18" x14ac:dyDescent="0.25">
      <c r="A263" t="s">
        <v>27</v>
      </c>
      <c r="B263" t="str">
        <f t="shared" si="539"/>
        <v>Show</v>
      </c>
      <c r="E263" s="1"/>
      <c r="F263" t="str">
        <f>"""Ceres4"",""TCP-LIVE"",""27"",""1"",""P490041"""</f>
        <v>"Ceres4","TCP-LIVE","27","1","P490041"</v>
      </c>
      <c r="G263" t="str">
        <f>"P490041"</f>
        <v>P490041</v>
      </c>
      <c r="H263" t="str">
        <f>"Protein - Baked Beans"</f>
        <v>Protein - Baked Beans</v>
      </c>
      <c r="I263" s="5" t="str">
        <f>"CS"</f>
        <v>CS</v>
      </c>
      <c r="J263" s="5">
        <v>24</v>
      </c>
      <c r="K263" s="5">
        <v>0</v>
      </c>
      <c r="L263" t="str">
        <f t="shared" ref="L263" si="565">IFERROR(IF(K263*J263=0,"0",K263*J263),0)</f>
        <v>0</v>
      </c>
      <c r="M263" s="5">
        <v>0</v>
      </c>
      <c r="N263" t="str">
        <f t="shared" ref="N263" si="566">IF(M263*J263=0,"0",M263*J263)</f>
        <v>0</v>
      </c>
      <c r="O263" s="5">
        <v>1.2</v>
      </c>
      <c r="P263" s="5">
        <v>17.14</v>
      </c>
      <c r="Q263" s="5">
        <f t="shared" ref="Q263" si="567">P263*O263</f>
        <v>20.568000000000001</v>
      </c>
      <c r="R263" s="6">
        <f t="shared" ref="R263" si="568">IFERROR(Q263+N263+L263,"")</f>
        <v>20.568000000000001</v>
      </c>
    </row>
    <row r="264" spans="1:18" x14ac:dyDescent="0.25">
      <c r="A264" t="s">
        <v>27</v>
      </c>
      <c r="B264" t="str">
        <f t="shared" ref="B264" si="569">IF($G263="","Hide","Show")</f>
        <v>Show</v>
      </c>
      <c r="H264" t="str">
        <f>"24-16 oz"</f>
        <v>24-16 oz</v>
      </c>
    </row>
    <row r="265" spans="1:18" x14ac:dyDescent="0.25">
      <c r="A265" t="s">
        <v>27</v>
      </c>
      <c r="B265" t="str">
        <f t="shared" ref="B265" si="570">IF($G253="","Hide","Show")</f>
        <v>Show</v>
      </c>
    </row>
    <row r="266" spans="1:18" ht="17.25" hidden="1" x14ac:dyDescent="0.3">
      <c r="A266" t="s">
        <v>27</v>
      </c>
      <c r="B266" t="str">
        <f t="shared" ref="B266" si="571">IF($G267="","Hide","Show")</f>
        <v>Hide</v>
      </c>
      <c r="C266" t="str">
        <f>"""Ceres4"",""TCP-LIVE"",""14012281"",""1"",""RICE"""</f>
        <v>"Ceres4","TCP-LIVE","14012281","1","RICE"</v>
      </c>
      <c r="D266" t="s">
        <v>58</v>
      </c>
      <c r="E266" s="9" t="s">
        <v>10</v>
      </c>
      <c r="F266" s="2"/>
      <c r="G266" s="8" t="s">
        <v>65</v>
      </c>
    </row>
    <row r="267" spans="1:18" hidden="1" x14ac:dyDescent="0.25">
      <c r="A267" t="s">
        <v>27</v>
      </c>
      <c r="B267" t="str">
        <f t="shared" ref="B267" si="572">IF($G267="","Hide","Show")</f>
        <v>Hide</v>
      </c>
      <c r="E267" s="1"/>
      <c r="F267" t="s">
        <v>28</v>
      </c>
      <c r="G267" t="s">
        <v>28</v>
      </c>
      <c r="H267" t="s">
        <v>28</v>
      </c>
      <c r="I267" s="5" t="s">
        <v>28</v>
      </c>
      <c r="J267" s="5" t="s">
        <v>28</v>
      </c>
      <c r="K267" s="5" t="s">
        <v>87</v>
      </c>
      <c r="L267">
        <f t="shared" ref="L267" si="573">IFERROR(IF(K267*J267=0,"0",K267*J267),0)</f>
        <v>0</v>
      </c>
      <c r="M267" s="5" t="s">
        <v>28</v>
      </c>
      <c r="N267" t="e">
        <f t="shared" ref="N267" si="574">IF(M267*J267=0,"0",M267*J267)</f>
        <v>#VALUE!</v>
      </c>
      <c r="O267" s="5" t="s">
        <v>28</v>
      </c>
      <c r="P267" s="5" t="s">
        <v>28</v>
      </c>
      <c r="Q267" s="5" t="e">
        <f t="shared" ref="Q267" si="575">P267*O267</f>
        <v>#VALUE!</v>
      </c>
      <c r="R267" s="6" t="str">
        <f t="shared" ref="R267" si="576">IFERROR(Q267+N267+L267,"")</f>
        <v/>
      </c>
    </row>
    <row r="268" spans="1:18" hidden="1" x14ac:dyDescent="0.25">
      <c r="A268" t="s">
        <v>27</v>
      </c>
      <c r="B268" t="str">
        <f t="shared" ref="B268" si="577">IF($G267="","Hide","Show")</f>
        <v>Hide</v>
      </c>
      <c r="H268" t="s">
        <v>28</v>
      </c>
    </row>
    <row r="269" spans="1:18" hidden="1" x14ac:dyDescent="0.25">
      <c r="A269" t="s">
        <v>27</v>
      </c>
      <c r="B269" t="str">
        <f t="shared" ref="B269" si="578">IF($G267="","Hide","Show")</f>
        <v>Hide</v>
      </c>
    </row>
    <row r="270" spans="1:18" ht="17.25" hidden="1" x14ac:dyDescent="0.3">
      <c r="A270" t="s">
        <v>27</v>
      </c>
      <c r="B270" t="str">
        <f t="shared" ref="B270" si="579">IF($G271="","Hide","Show")</f>
        <v>Hide</v>
      </c>
      <c r="C270" t="str">
        <f>"""Ceres4"",""TCP-LIVE"",""14012281"",""1"",""SALVAGE"""</f>
        <v>"Ceres4","TCP-LIVE","14012281","1","SALVAGE"</v>
      </c>
      <c r="D270" t="s">
        <v>59</v>
      </c>
      <c r="E270" s="9" t="s">
        <v>10</v>
      </c>
      <c r="F270" s="2"/>
      <c r="G270" s="8" t="s">
        <v>66</v>
      </c>
    </row>
    <row r="271" spans="1:18" hidden="1" x14ac:dyDescent="0.25">
      <c r="A271" t="s">
        <v>27</v>
      </c>
      <c r="B271" t="str">
        <f t="shared" ref="B271" si="580">IF($G271="","Hide","Show")</f>
        <v>Hide</v>
      </c>
      <c r="E271" s="1"/>
      <c r="F271" t="s">
        <v>28</v>
      </c>
      <c r="G271" t="s">
        <v>28</v>
      </c>
      <c r="H271" t="s">
        <v>28</v>
      </c>
      <c r="I271" s="5" t="s">
        <v>28</v>
      </c>
      <c r="J271" s="5" t="s">
        <v>28</v>
      </c>
      <c r="K271" s="5" t="s">
        <v>87</v>
      </c>
      <c r="L271">
        <f t="shared" ref="L271" si="581">IFERROR(IF(K271*J271=0,"0",K271*J271),0)</f>
        <v>0</v>
      </c>
      <c r="M271" s="5" t="s">
        <v>28</v>
      </c>
      <c r="N271" t="e">
        <f t="shared" ref="N271" si="582">IF(M271*J271=0,"0",M271*J271)</f>
        <v>#VALUE!</v>
      </c>
      <c r="O271" s="5" t="s">
        <v>28</v>
      </c>
      <c r="P271" s="5" t="s">
        <v>28</v>
      </c>
      <c r="Q271" s="5" t="e">
        <f t="shared" ref="Q271" si="583">P271*O271</f>
        <v>#VALUE!</v>
      </c>
      <c r="R271" s="6" t="str">
        <f t="shared" ref="R271" si="584">IFERROR(Q271+N271+L271,"")</f>
        <v/>
      </c>
    </row>
    <row r="272" spans="1:18" hidden="1" x14ac:dyDescent="0.25">
      <c r="A272" t="s">
        <v>27</v>
      </c>
      <c r="B272" t="str">
        <f t="shared" ref="B272" si="585">IF($G271="","Hide","Show")</f>
        <v>Hide</v>
      </c>
      <c r="H272" t="s">
        <v>28</v>
      </c>
    </row>
    <row r="273" spans="1:18" hidden="1" x14ac:dyDescent="0.25">
      <c r="A273" t="s">
        <v>27</v>
      </c>
      <c r="B273" t="str">
        <f t="shared" ref="B273" si="586">IF($G271="","Hide","Show")</f>
        <v>Hide</v>
      </c>
    </row>
    <row r="274" spans="1:18" ht="17.25" x14ac:dyDescent="0.3">
      <c r="A274" t="s">
        <v>27</v>
      </c>
      <c r="B274" t="str">
        <f t="shared" ref="B274" si="587">IF($G275="","Hide","Show")</f>
        <v>Show</v>
      </c>
      <c r="C274" t="str">
        <f>"""Ceres4"",""TCP-LIVE"",""14012281"",""1"",""SNACK"""</f>
        <v>"Ceres4","TCP-LIVE","14012281","1","SNACK"</v>
      </c>
      <c r="D274" t="s">
        <v>60</v>
      </c>
      <c r="E274" s="9" t="s">
        <v>10</v>
      </c>
      <c r="F274" s="2"/>
      <c r="G274" s="8" t="s">
        <v>67</v>
      </c>
    </row>
    <row r="275" spans="1:18" x14ac:dyDescent="0.25">
      <c r="A275" t="s">
        <v>27</v>
      </c>
      <c r="B275" t="str">
        <f t="shared" ref="B275:B281" si="588">IF($G275="","Hide","Show")</f>
        <v>Show</v>
      </c>
      <c r="E275" s="1"/>
      <c r="F275" t="s">
        <v>63</v>
      </c>
      <c r="G275" t="s">
        <v>68</v>
      </c>
      <c r="H275" t="s">
        <v>75</v>
      </c>
      <c r="I275" s="5" t="s">
        <v>86</v>
      </c>
      <c r="J275" s="5">
        <v>5</v>
      </c>
      <c r="K275" s="5">
        <v>0.19</v>
      </c>
      <c r="L275">
        <f t="shared" ref="L275" si="589">IFERROR(IF(K275*J275=0,"0",K275*J275),0)</f>
        <v>0.95</v>
      </c>
      <c r="M275" s="5">
        <v>0</v>
      </c>
      <c r="N275" t="str">
        <f t="shared" ref="N275" si="590">IF(M275*J275=0,"0",M275*J275)</f>
        <v>0</v>
      </c>
      <c r="O275" s="5">
        <v>1</v>
      </c>
      <c r="P275" s="5">
        <v>0</v>
      </c>
      <c r="Q275" s="5">
        <f t="shared" ref="Q275" si="591">P275*O275</f>
        <v>0</v>
      </c>
      <c r="R275" s="6">
        <f t="shared" ref="R275" si="592">IFERROR(Q275+N275+L275,"")</f>
        <v>0.95</v>
      </c>
    </row>
    <row r="276" spans="1:18" x14ac:dyDescent="0.25">
      <c r="A276" t="s">
        <v>27</v>
      </c>
      <c r="B276" t="str">
        <f t="shared" ref="B276" si="593">IF($G275="","Hide","Show")</f>
        <v>Show</v>
      </c>
      <c r="H276" t="s">
        <v>76</v>
      </c>
    </row>
    <row r="277" spans="1:18" x14ac:dyDescent="0.25">
      <c r="A277" t="s">
        <v>27</v>
      </c>
      <c r="B277" t="str">
        <f t="shared" si="588"/>
        <v>Show</v>
      </c>
      <c r="E277" s="1"/>
      <c r="F277" t="str">
        <f>"""Ceres4"",""TCP-LIVE"",""27"",""1"",""601071"""</f>
        <v>"Ceres4","TCP-LIVE","27","1","601071"</v>
      </c>
      <c r="G277" t="s">
        <v>69</v>
      </c>
      <c r="H277" t="s">
        <v>77</v>
      </c>
      <c r="I277" s="5" t="s">
        <v>86</v>
      </c>
      <c r="J277" s="5">
        <v>72</v>
      </c>
      <c r="K277" s="5">
        <v>0.19</v>
      </c>
      <c r="L277">
        <f t="shared" ref="L277" si="594">IFERROR(IF(K277*J277=0,"0",K277*J277),0)</f>
        <v>13.68</v>
      </c>
      <c r="M277" s="5">
        <v>0</v>
      </c>
      <c r="N277" t="str">
        <f t="shared" ref="N277" si="595">IF(M277*J277=0,"0",M277*J277)</f>
        <v>0</v>
      </c>
      <c r="O277" s="5">
        <v>1</v>
      </c>
      <c r="P277" s="5">
        <v>0</v>
      </c>
      <c r="Q277" s="5">
        <f t="shared" ref="Q277" si="596">P277*O277</f>
        <v>0</v>
      </c>
      <c r="R277" s="6">
        <f t="shared" ref="R277" si="597">IFERROR(Q277+N277+L277,"")</f>
        <v>13.68</v>
      </c>
    </row>
    <row r="278" spans="1:18" x14ac:dyDescent="0.25">
      <c r="A278" t="s">
        <v>27</v>
      </c>
      <c r="B278" t="str">
        <f t="shared" ref="B278" si="598">IF($G277="","Hide","Show")</f>
        <v>Show</v>
      </c>
      <c r="H278" t="s">
        <v>78</v>
      </c>
    </row>
    <row r="279" spans="1:18" x14ac:dyDescent="0.25">
      <c r="A279" t="s">
        <v>27</v>
      </c>
      <c r="B279" t="str">
        <f t="shared" si="588"/>
        <v>Show</v>
      </c>
      <c r="E279" s="1"/>
      <c r="F279" t="str">
        <f>"""Ceres4"",""TCP-LIVE"",""27"",""1"",""601228"""</f>
        <v>"Ceres4","TCP-LIVE","27","1","601228"</v>
      </c>
      <c r="G279" t="s">
        <v>70</v>
      </c>
      <c r="H279" t="s">
        <v>77</v>
      </c>
      <c r="I279" s="5" t="s">
        <v>86</v>
      </c>
      <c r="J279" s="5">
        <v>8</v>
      </c>
      <c r="K279" s="5">
        <v>0.19</v>
      </c>
      <c r="L279">
        <f t="shared" ref="L279" si="599">IFERROR(IF(K279*J279=0,"0",K279*J279),0)</f>
        <v>1.52</v>
      </c>
      <c r="M279" s="5">
        <v>0</v>
      </c>
      <c r="N279" t="str">
        <f t="shared" ref="N279" si="600">IF(M279*J279=0,"0",M279*J279)</f>
        <v>0</v>
      </c>
      <c r="O279" s="5">
        <v>1</v>
      </c>
      <c r="P279" s="5">
        <v>0</v>
      </c>
      <c r="Q279" s="5">
        <f t="shared" ref="Q279" si="601">P279*O279</f>
        <v>0</v>
      </c>
      <c r="R279" s="6">
        <f t="shared" ref="R279" si="602">IFERROR(Q279+N279+L279,"")</f>
        <v>1.52</v>
      </c>
    </row>
    <row r="280" spans="1:18" x14ac:dyDescent="0.25">
      <c r="A280" t="s">
        <v>27</v>
      </c>
      <c r="B280" t="str">
        <f t="shared" ref="B280" si="603">IF($G279="","Hide","Show")</f>
        <v>Show</v>
      </c>
      <c r="H280" t="s">
        <v>79</v>
      </c>
    </row>
    <row r="281" spans="1:18" x14ac:dyDescent="0.25">
      <c r="A281" t="s">
        <v>27</v>
      </c>
      <c r="B281" t="str">
        <f t="shared" si="588"/>
        <v>Show</v>
      </c>
      <c r="E281" s="1"/>
      <c r="F281" t="str">
        <f>"""Ceres4"",""TCP-LIVE"",""27"",""1"",""601556"""</f>
        <v>"Ceres4","TCP-LIVE","27","1","601556"</v>
      </c>
      <c r="G281" t="s">
        <v>71</v>
      </c>
      <c r="H281" t="s">
        <v>80</v>
      </c>
      <c r="I281" s="5" t="s">
        <v>86</v>
      </c>
      <c r="J281" s="5">
        <v>5</v>
      </c>
      <c r="K281" s="5">
        <v>0.19</v>
      </c>
      <c r="L281">
        <f t="shared" ref="L281" si="604">IFERROR(IF(K281*J281=0,"0",K281*J281),0)</f>
        <v>0.95</v>
      </c>
      <c r="M281" s="5">
        <v>0</v>
      </c>
      <c r="N281" t="str">
        <f t="shared" ref="N281" si="605">IF(M281*J281=0,"0",M281*J281)</f>
        <v>0</v>
      </c>
      <c r="O281" s="5">
        <v>1</v>
      </c>
      <c r="P281" s="5">
        <v>0</v>
      </c>
      <c r="Q281" s="5">
        <f t="shared" ref="Q281" si="606">P281*O281</f>
        <v>0</v>
      </c>
      <c r="R281" s="6">
        <f t="shared" ref="R281" si="607">IFERROR(Q281+N281+L281,"")</f>
        <v>0.95</v>
      </c>
    </row>
    <row r="282" spans="1:18" x14ac:dyDescent="0.25">
      <c r="A282" t="s">
        <v>27</v>
      </c>
      <c r="B282" t="str">
        <f t="shared" ref="B282" si="608">IF($G281="","Hide","Show")</f>
        <v>Show</v>
      </c>
      <c r="H282" t="s">
        <v>81</v>
      </c>
    </row>
    <row r="283" spans="1:18" x14ac:dyDescent="0.25">
      <c r="A283" t="s">
        <v>27</v>
      </c>
      <c r="B283" t="str">
        <f t="shared" ref="B283" si="609">IF($G275="","Hide","Show")</f>
        <v>Show</v>
      </c>
    </row>
    <row r="284" spans="1:18" ht="17.25" x14ac:dyDescent="0.3">
      <c r="A284" t="s">
        <v>27</v>
      </c>
      <c r="B284" t="str">
        <f t="shared" ref="B284" si="610">IF($G285="","Hide","Show")</f>
        <v>Show</v>
      </c>
      <c r="C284" t="str">
        <f>"""Ceres4"",""TCP-LIVE"",""14012281"",""1"",""SOUP"""</f>
        <v>"Ceres4","TCP-LIVE","14012281","1","SOUP"</v>
      </c>
      <c r="D284" t="s">
        <v>61</v>
      </c>
      <c r="E284" s="9" t="s">
        <v>10</v>
      </c>
      <c r="F284" s="2"/>
      <c r="G284" s="8" t="s">
        <v>72</v>
      </c>
    </row>
    <row r="285" spans="1:18" x14ac:dyDescent="0.25">
      <c r="A285" t="s">
        <v>27</v>
      </c>
      <c r="B285" t="str">
        <f t="shared" ref="B285:B287" si="611">IF($G285="","Hide","Show")</f>
        <v>Show</v>
      </c>
      <c r="E285" s="1"/>
      <c r="F285" t="s">
        <v>62</v>
      </c>
      <c r="G285" t="s">
        <v>73</v>
      </c>
      <c r="H285" t="s">
        <v>82</v>
      </c>
      <c r="I285" s="5" t="s">
        <v>86</v>
      </c>
      <c r="J285" s="5">
        <v>12</v>
      </c>
      <c r="K285" s="5">
        <v>0</v>
      </c>
      <c r="L285" t="str">
        <f t="shared" ref="L285" si="612">IFERROR(IF(K285*J285=0,"0",K285*J285),0)</f>
        <v>0</v>
      </c>
      <c r="M285" s="5">
        <v>0</v>
      </c>
      <c r="N285" t="str">
        <f t="shared" ref="N285" si="613">IF(M285*J285=0,"0",M285*J285)</f>
        <v>0</v>
      </c>
      <c r="O285" s="5">
        <v>1.2</v>
      </c>
      <c r="P285" s="5">
        <v>12.48</v>
      </c>
      <c r="Q285" s="5">
        <f t="shared" ref="Q285" si="614">P285*O285</f>
        <v>14.975999999999999</v>
      </c>
      <c r="R285" s="6">
        <f t="shared" ref="R285" si="615">IFERROR(Q285+N285+L285,"")</f>
        <v>14.975999999999999</v>
      </c>
    </row>
    <row r="286" spans="1:18" x14ac:dyDescent="0.25">
      <c r="A286" t="s">
        <v>27</v>
      </c>
      <c r="B286" t="str">
        <f t="shared" ref="B286" si="616">IF($G285="","Hide","Show")</f>
        <v>Show</v>
      </c>
      <c r="H286" t="s">
        <v>83</v>
      </c>
    </row>
    <row r="287" spans="1:18" x14ac:dyDescent="0.25">
      <c r="A287" t="s">
        <v>27</v>
      </c>
      <c r="B287" t="str">
        <f t="shared" si="611"/>
        <v>Show</v>
      </c>
      <c r="E287" s="1"/>
      <c r="F287" t="str">
        <f>"""Ceres4"",""TCP-LIVE"",""27"",""1"",""P730000"""</f>
        <v>"Ceres4","TCP-LIVE","27","1","P730000"</v>
      </c>
      <c r="G287" t="s">
        <v>74</v>
      </c>
      <c r="H287" t="s">
        <v>84</v>
      </c>
      <c r="I287" s="5" t="s">
        <v>86</v>
      </c>
      <c r="J287" s="5">
        <v>17</v>
      </c>
      <c r="K287" s="5">
        <v>0</v>
      </c>
      <c r="L287" t="str">
        <f t="shared" ref="L287" si="617">IFERROR(IF(K287*J287=0,"0",K287*J287),0)</f>
        <v>0</v>
      </c>
      <c r="M287" s="5">
        <v>0</v>
      </c>
      <c r="N287" t="str">
        <f t="shared" ref="N287" si="618">IF(M287*J287=0,"0",M287*J287)</f>
        <v>0</v>
      </c>
      <c r="O287" s="5">
        <v>1.1499999999999999</v>
      </c>
      <c r="P287" s="5">
        <v>10.9</v>
      </c>
      <c r="Q287" s="5">
        <f t="shared" ref="Q287" si="619">P287*O287</f>
        <v>12.535</v>
      </c>
      <c r="R287" s="6">
        <f t="shared" ref="R287" si="620">IFERROR(Q287+N287+L287,"")</f>
        <v>12.535</v>
      </c>
    </row>
    <row r="288" spans="1:18" x14ac:dyDescent="0.25">
      <c r="A288" t="s">
        <v>27</v>
      </c>
      <c r="B288" t="str">
        <f t="shared" ref="B288" si="621">IF($G287="","Hide","Show")</f>
        <v>Show</v>
      </c>
      <c r="H288" t="s">
        <v>85</v>
      </c>
    </row>
    <row r="289" spans="1:2" x14ac:dyDescent="0.25">
      <c r="A289" t="s">
        <v>27</v>
      </c>
      <c r="B289" t="str">
        <f t="shared" ref="B289" si="622">IF($G285="","Hide","Show")</f>
        <v>Show</v>
      </c>
    </row>
  </sheetData>
  <mergeCells count="4">
    <mergeCell ref="C4:R4"/>
    <mergeCell ref="G6:H6"/>
    <mergeCell ref="G8:H8"/>
    <mergeCell ref="C3:R3"/>
  </mergeCells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2" workbookViewId="0"/>
  </sheetViews>
  <sheetFormatPr defaultRowHeight="15" x14ac:dyDescent="0.25"/>
  <cols>
    <col min="1" max="1" width="9.140625" hidden="1" customWidth="1"/>
  </cols>
  <sheetData>
    <row r="1" spans="1:1" hidden="1" x14ac:dyDescent="0.25">
      <c r="A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Baldwin</dc:creator>
  <cp:lastModifiedBy>Cheif Operating</cp:lastModifiedBy>
  <cp:lastPrinted>2013-11-07T23:23:16Z</cp:lastPrinted>
  <dcterms:created xsi:type="dcterms:W3CDTF">2013-03-28T16:24:23Z</dcterms:created>
  <dcterms:modified xsi:type="dcterms:W3CDTF">2018-06-21T15:18:06Z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</Properties>
</file>