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mmon\Shopping List\"/>
    </mc:Choice>
  </mc:AlternateContent>
  <bookViews>
    <workbookView xWindow="0" yWindow="0" windowWidth="28800" windowHeight="1213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19" i="2" l="1"/>
  <c r="F21" i="2"/>
  <c r="Q19" i="2" l="1"/>
  <c r="B21" i="2"/>
  <c r="B22" i="2"/>
  <c r="L21" i="2"/>
  <c r="N21" i="2"/>
  <c r="B20" i="2"/>
  <c r="B19" i="2"/>
  <c r="L19" i="2"/>
  <c r="N19" i="2"/>
  <c r="Q21" i="2"/>
  <c r="F27" i="2"/>
  <c r="F29" i="2"/>
  <c r="F31" i="2"/>
  <c r="R21" i="2" l="1"/>
  <c r="Q27" i="2"/>
  <c r="B29" i="2"/>
  <c r="B30" i="2"/>
  <c r="L29" i="2"/>
  <c r="N29" i="2"/>
  <c r="Q31" i="2"/>
  <c r="B28" i="2"/>
  <c r="B27" i="2"/>
  <c r="L27" i="2"/>
  <c r="N27" i="2"/>
  <c r="Q29" i="2"/>
  <c r="B32" i="2"/>
  <c r="B31" i="2"/>
  <c r="L31" i="2"/>
  <c r="N31" i="2"/>
  <c r="R1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39" i="2"/>
  <c r="I39" i="2"/>
  <c r="I41" i="2"/>
  <c r="I43" i="2"/>
  <c r="I45" i="2"/>
  <c r="I47" i="2"/>
  <c r="I49" i="2"/>
  <c r="I51" i="2"/>
  <c r="I53" i="2"/>
  <c r="G39" i="2"/>
  <c r="G41" i="2"/>
  <c r="G43" i="2"/>
  <c r="G45" i="2"/>
  <c r="G47" i="2"/>
  <c r="G49" i="2"/>
  <c r="G51" i="2"/>
  <c r="G53" i="2"/>
  <c r="R29" i="2" l="1"/>
  <c r="R31" i="2"/>
  <c r="R27" i="2"/>
  <c r="F41" i="2"/>
  <c r="F43" i="2"/>
  <c r="F45" i="2"/>
  <c r="F47" i="2"/>
  <c r="F49" i="2"/>
  <c r="F51" i="2"/>
  <c r="F53" i="2"/>
  <c r="B54" i="2"/>
  <c r="Q53" i="2"/>
  <c r="N53" i="2"/>
  <c r="B53" i="2"/>
  <c r="B52" i="2"/>
  <c r="Q51" i="2"/>
  <c r="N51" i="2"/>
  <c r="B51" i="2"/>
  <c r="B50" i="2"/>
  <c r="Q49" i="2"/>
  <c r="N49" i="2"/>
  <c r="B49" i="2"/>
  <c r="B48" i="2"/>
  <c r="Q47" i="2"/>
  <c r="N47" i="2"/>
  <c r="B47" i="2"/>
  <c r="B46" i="2"/>
  <c r="Q45" i="2"/>
  <c r="N45" i="2"/>
  <c r="B45" i="2"/>
  <c r="B44" i="2"/>
  <c r="Q43" i="2"/>
  <c r="N43" i="2"/>
  <c r="B43" i="2"/>
  <c r="B42" i="2"/>
  <c r="Q41" i="2"/>
  <c r="N41" i="2"/>
  <c r="B41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57" i="2"/>
  <c r="I57" i="2"/>
  <c r="I59" i="2"/>
  <c r="I61" i="2"/>
  <c r="I63" i="2"/>
  <c r="I65" i="2"/>
  <c r="I67" i="2"/>
  <c r="I69" i="2"/>
  <c r="I71" i="2"/>
  <c r="I73" i="2"/>
  <c r="I75" i="2"/>
  <c r="G57" i="2"/>
  <c r="G59" i="2"/>
  <c r="G61" i="2"/>
  <c r="G63" i="2"/>
  <c r="G65" i="2"/>
  <c r="G67" i="2"/>
  <c r="G69" i="2"/>
  <c r="G71" i="2"/>
  <c r="G73" i="2"/>
  <c r="G75" i="2"/>
  <c r="L43" i="2" l="1"/>
  <c r="R43" i="2" s="1"/>
  <c r="L47" i="2"/>
  <c r="L51" i="2"/>
  <c r="R51" i="2" s="1"/>
  <c r="L41" i="2"/>
  <c r="R41" i="2" s="1"/>
  <c r="L45" i="2"/>
  <c r="L49" i="2"/>
  <c r="R49" i="2" s="1"/>
  <c r="L53" i="2"/>
  <c r="R53" i="2" s="1"/>
  <c r="R45" i="2"/>
  <c r="R47" i="2"/>
  <c r="F59" i="2"/>
  <c r="F61" i="2"/>
  <c r="F63" i="2"/>
  <c r="F65" i="2"/>
  <c r="F67" i="2"/>
  <c r="F69" i="2"/>
  <c r="F71" i="2"/>
  <c r="F73" i="2"/>
  <c r="F75" i="2"/>
  <c r="B76" i="2"/>
  <c r="Q75" i="2"/>
  <c r="N75" i="2"/>
  <c r="B75" i="2"/>
  <c r="B74" i="2"/>
  <c r="Q73" i="2"/>
  <c r="N73" i="2"/>
  <c r="B73" i="2"/>
  <c r="B72" i="2"/>
  <c r="Q71" i="2"/>
  <c r="N71" i="2"/>
  <c r="B71" i="2"/>
  <c r="B70" i="2"/>
  <c r="Q69" i="2"/>
  <c r="N69" i="2"/>
  <c r="B69" i="2"/>
  <c r="B68" i="2"/>
  <c r="Q67" i="2"/>
  <c r="N67" i="2"/>
  <c r="B67" i="2"/>
  <c r="B66" i="2"/>
  <c r="Q65" i="2"/>
  <c r="N65" i="2"/>
  <c r="B65" i="2"/>
  <c r="B64" i="2"/>
  <c r="Q63" i="2"/>
  <c r="N63" i="2"/>
  <c r="B63" i="2"/>
  <c r="B62" i="2"/>
  <c r="Q61" i="2"/>
  <c r="N61" i="2"/>
  <c r="B61" i="2"/>
  <c r="B60" i="2"/>
  <c r="Q59" i="2"/>
  <c r="N59" i="2"/>
  <c r="B59" i="2"/>
  <c r="F81" i="2"/>
  <c r="F83" i="2"/>
  <c r="B81" i="2" l="1"/>
  <c r="B82" i="2"/>
  <c r="L81" i="2"/>
  <c r="Q83" i="2"/>
  <c r="L59" i="2"/>
  <c r="R59" i="2" s="1"/>
  <c r="Q81" i="2"/>
  <c r="B84" i="2"/>
  <c r="B83" i="2"/>
  <c r="L83" i="2"/>
  <c r="N83" i="2"/>
  <c r="L61" i="2"/>
  <c r="R61" i="2" s="1"/>
  <c r="L65" i="2"/>
  <c r="R65" i="2" s="1"/>
  <c r="L69" i="2"/>
  <c r="R69" i="2" s="1"/>
  <c r="L73" i="2"/>
  <c r="N81" i="2"/>
  <c r="L63" i="2"/>
  <c r="R63" i="2" s="1"/>
  <c r="L67" i="2"/>
  <c r="R67" i="2" s="1"/>
  <c r="L71" i="2"/>
  <c r="L75" i="2"/>
  <c r="R75" i="2" s="1"/>
  <c r="R71" i="2"/>
  <c r="R73" i="2"/>
  <c r="F89" i="2"/>
  <c r="F91" i="2"/>
  <c r="F93" i="2"/>
  <c r="L89" i="2" l="1"/>
  <c r="N89" i="2"/>
  <c r="Q91" i="2"/>
  <c r="B94" i="2"/>
  <c r="B93" i="2"/>
  <c r="L93" i="2"/>
  <c r="Q89" i="2"/>
  <c r="B92" i="2"/>
  <c r="B91" i="2"/>
  <c r="L91" i="2"/>
  <c r="N91" i="2"/>
  <c r="Q93" i="2"/>
  <c r="B90" i="2"/>
  <c r="B89" i="2"/>
  <c r="N93" i="2"/>
  <c r="R81" i="2"/>
  <c r="R83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00" i="2"/>
  <c r="I100" i="2"/>
  <c r="I102" i="2"/>
  <c r="I104" i="2"/>
  <c r="I106" i="2"/>
  <c r="I108" i="2"/>
  <c r="I110" i="2"/>
  <c r="I112" i="2"/>
  <c r="I114" i="2"/>
  <c r="I116" i="2"/>
  <c r="G100" i="2"/>
  <c r="G102" i="2"/>
  <c r="G104" i="2"/>
  <c r="G106" i="2"/>
  <c r="G108" i="2"/>
  <c r="G110" i="2"/>
  <c r="G112" i="2"/>
  <c r="G114" i="2"/>
  <c r="G116" i="2"/>
  <c r="R89" i="2" l="1"/>
  <c r="R93" i="2"/>
  <c r="R91" i="2"/>
  <c r="F102" i="2"/>
  <c r="F104" i="2"/>
  <c r="F106" i="2"/>
  <c r="F108" i="2"/>
  <c r="F110" i="2"/>
  <c r="F112" i="2"/>
  <c r="F114" i="2"/>
  <c r="F116" i="2"/>
  <c r="B117" i="2"/>
  <c r="Q116" i="2"/>
  <c r="N116" i="2"/>
  <c r="B116" i="2"/>
  <c r="B115" i="2"/>
  <c r="Q114" i="2"/>
  <c r="N114" i="2"/>
  <c r="B114" i="2"/>
  <c r="B113" i="2"/>
  <c r="Q112" i="2"/>
  <c r="N112" i="2"/>
  <c r="B112" i="2"/>
  <c r="B111" i="2"/>
  <c r="Q110" i="2"/>
  <c r="N110" i="2"/>
  <c r="B110" i="2"/>
  <c r="B109" i="2"/>
  <c r="Q108" i="2"/>
  <c r="N108" i="2"/>
  <c r="B108" i="2"/>
  <c r="B107" i="2"/>
  <c r="Q106" i="2"/>
  <c r="N106" i="2"/>
  <c r="B106" i="2"/>
  <c r="B105" i="2"/>
  <c r="Q104" i="2"/>
  <c r="N104" i="2"/>
  <c r="B104" i="2"/>
  <c r="B103" i="2"/>
  <c r="Q102" i="2"/>
  <c r="N102" i="2"/>
  <c r="B102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20" i="2"/>
  <c r="I120" i="2"/>
  <c r="I122" i="2"/>
  <c r="I124" i="2"/>
  <c r="I126" i="2"/>
  <c r="I128" i="2"/>
  <c r="I130" i="2"/>
  <c r="I132" i="2"/>
  <c r="I134" i="2"/>
  <c r="I136" i="2"/>
  <c r="I138" i="2"/>
  <c r="G120" i="2"/>
  <c r="G122" i="2"/>
  <c r="G124" i="2"/>
  <c r="G126" i="2"/>
  <c r="G128" i="2"/>
  <c r="G130" i="2"/>
  <c r="G132" i="2"/>
  <c r="G134" i="2"/>
  <c r="G136" i="2"/>
  <c r="G138" i="2"/>
  <c r="L104" i="2" l="1"/>
  <c r="R104" i="2" s="1"/>
  <c r="L108" i="2"/>
  <c r="L112" i="2"/>
  <c r="R112" i="2" s="1"/>
  <c r="L116" i="2"/>
  <c r="R116" i="2" s="1"/>
  <c r="L102" i="2"/>
  <c r="L106" i="2"/>
  <c r="L110" i="2"/>
  <c r="L114" i="2"/>
  <c r="R114" i="2" s="1"/>
  <c r="R102" i="2"/>
  <c r="R106" i="2"/>
  <c r="R110" i="2"/>
  <c r="R108" i="2"/>
  <c r="F122" i="2"/>
  <c r="F124" i="2"/>
  <c r="F126" i="2"/>
  <c r="F128" i="2"/>
  <c r="F130" i="2"/>
  <c r="F132" i="2"/>
  <c r="F134" i="2"/>
  <c r="F136" i="2"/>
  <c r="F138" i="2"/>
  <c r="B139" i="2"/>
  <c r="Q138" i="2"/>
  <c r="N138" i="2"/>
  <c r="B138" i="2"/>
  <c r="B137" i="2"/>
  <c r="Q136" i="2"/>
  <c r="N136" i="2"/>
  <c r="B136" i="2"/>
  <c r="B135" i="2"/>
  <c r="Q134" i="2"/>
  <c r="N134" i="2"/>
  <c r="B134" i="2"/>
  <c r="B133" i="2"/>
  <c r="Q132" i="2"/>
  <c r="N132" i="2"/>
  <c r="B132" i="2"/>
  <c r="B131" i="2"/>
  <c r="Q130" i="2"/>
  <c r="N130" i="2"/>
  <c r="B130" i="2"/>
  <c r="B129" i="2"/>
  <c r="Q128" i="2"/>
  <c r="N128" i="2"/>
  <c r="B128" i="2"/>
  <c r="B127" i="2"/>
  <c r="Q126" i="2"/>
  <c r="N126" i="2"/>
  <c r="B126" i="2"/>
  <c r="B125" i="2"/>
  <c r="Q124" i="2"/>
  <c r="N124" i="2"/>
  <c r="B124" i="2"/>
  <c r="B123" i="2"/>
  <c r="Q122" i="2"/>
  <c r="N122" i="2"/>
  <c r="B122" i="2"/>
  <c r="L122" i="2" l="1"/>
  <c r="L126" i="2"/>
  <c r="R126" i="2" s="1"/>
  <c r="L130" i="2"/>
  <c r="R130" i="2" s="1"/>
  <c r="L134" i="2"/>
  <c r="R134" i="2" s="1"/>
  <c r="L138" i="2"/>
  <c r="L124" i="2"/>
  <c r="L128" i="2"/>
  <c r="R128" i="2" s="1"/>
  <c r="L132" i="2"/>
  <c r="R132" i="2" s="1"/>
  <c r="L136" i="2"/>
  <c r="R124" i="2"/>
  <c r="R136" i="2"/>
  <c r="R122" i="2"/>
  <c r="R138" i="2"/>
  <c r="F180" i="2"/>
  <c r="F182" i="2"/>
  <c r="B180" i="2" l="1"/>
  <c r="B181" i="2"/>
  <c r="L180" i="2"/>
  <c r="Q180" i="2"/>
  <c r="B183" i="2"/>
  <c r="B182" i="2"/>
  <c r="L182" i="2"/>
  <c r="N182" i="2"/>
  <c r="N180" i="2"/>
  <c r="Q182" i="2"/>
  <c r="F196" i="2"/>
  <c r="B196" i="2" l="1"/>
  <c r="B197" i="2"/>
  <c r="N196" i="2"/>
  <c r="Q196" i="2"/>
  <c r="L196" i="2"/>
  <c r="R182" i="2"/>
  <c r="R180" i="2"/>
  <c r="H209" i="2"/>
  <c r="H210" i="2"/>
  <c r="H211" i="2"/>
  <c r="H212" i="2"/>
  <c r="H215" i="2"/>
  <c r="H216" i="2"/>
  <c r="H217" i="2"/>
  <c r="H218" i="2"/>
  <c r="H219" i="2"/>
  <c r="H220" i="2"/>
  <c r="H221" i="2"/>
  <c r="H222" i="2"/>
  <c r="H223" i="2"/>
  <c r="H224" i="2"/>
  <c r="H213" i="2" s="1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08" i="2"/>
  <c r="I208" i="2"/>
  <c r="I210" i="2"/>
  <c r="I212" i="2"/>
  <c r="I215" i="2"/>
  <c r="I217" i="2"/>
  <c r="I219" i="2"/>
  <c r="I221" i="2"/>
  <c r="I223" i="2"/>
  <c r="I225" i="2"/>
  <c r="I227" i="2"/>
  <c r="I229" i="2"/>
  <c r="I231" i="2"/>
  <c r="I233" i="2"/>
  <c r="I235" i="2"/>
  <c r="I237" i="2"/>
  <c r="I239" i="2"/>
  <c r="I241" i="2"/>
  <c r="I243" i="2"/>
  <c r="I245" i="2"/>
  <c r="I247" i="2"/>
  <c r="I249" i="2"/>
  <c r="G208" i="2"/>
  <c r="G210" i="2"/>
  <c r="G212" i="2"/>
  <c r="G215" i="2"/>
  <c r="G217" i="2"/>
  <c r="G219" i="2"/>
  <c r="G221" i="2"/>
  <c r="G223" i="2"/>
  <c r="G225" i="2"/>
  <c r="G227" i="2"/>
  <c r="G229" i="2"/>
  <c r="G231" i="2"/>
  <c r="G233" i="2"/>
  <c r="G235" i="2"/>
  <c r="G237" i="2"/>
  <c r="G239" i="2"/>
  <c r="G241" i="2"/>
  <c r="G243" i="2"/>
  <c r="G245" i="2"/>
  <c r="G247" i="2"/>
  <c r="G249" i="2"/>
  <c r="R196" i="2" l="1"/>
  <c r="F210" i="2"/>
  <c r="F212" i="2"/>
  <c r="F215" i="2"/>
  <c r="F217" i="2"/>
  <c r="F219" i="2"/>
  <c r="F221" i="2"/>
  <c r="F223" i="2"/>
  <c r="F225" i="2"/>
  <c r="F227" i="2"/>
  <c r="F229" i="2"/>
  <c r="F231" i="2"/>
  <c r="F233" i="2"/>
  <c r="F235" i="2"/>
  <c r="F237" i="2"/>
  <c r="F239" i="2"/>
  <c r="F241" i="2"/>
  <c r="F243" i="2"/>
  <c r="F245" i="2"/>
  <c r="F247" i="2"/>
  <c r="F249" i="2"/>
  <c r="B250" i="2"/>
  <c r="Q249" i="2"/>
  <c r="N249" i="2"/>
  <c r="B249" i="2"/>
  <c r="B248" i="2"/>
  <c r="Q247" i="2"/>
  <c r="N247" i="2"/>
  <c r="B247" i="2"/>
  <c r="B246" i="2"/>
  <c r="Q245" i="2"/>
  <c r="N245" i="2"/>
  <c r="B245" i="2"/>
  <c r="B244" i="2"/>
  <c r="Q243" i="2"/>
  <c r="N243" i="2"/>
  <c r="B243" i="2"/>
  <c r="B242" i="2"/>
  <c r="Q241" i="2"/>
  <c r="N241" i="2"/>
  <c r="B241" i="2"/>
  <c r="B240" i="2"/>
  <c r="Q239" i="2"/>
  <c r="N239" i="2"/>
  <c r="B239" i="2"/>
  <c r="B238" i="2"/>
  <c r="Q237" i="2"/>
  <c r="N237" i="2"/>
  <c r="B237" i="2"/>
  <c r="B236" i="2"/>
  <c r="Q235" i="2"/>
  <c r="N235" i="2"/>
  <c r="B235" i="2"/>
  <c r="B234" i="2"/>
  <c r="Q233" i="2"/>
  <c r="N233" i="2"/>
  <c r="B233" i="2"/>
  <c r="B232" i="2"/>
  <c r="Q231" i="2"/>
  <c r="N231" i="2"/>
  <c r="B231" i="2"/>
  <c r="B230" i="2"/>
  <c r="Q229" i="2"/>
  <c r="N229" i="2"/>
  <c r="B229" i="2"/>
  <c r="B228" i="2"/>
  <c r="Q227" i="2"/>
  <c r="N227" i="2"/>
  <c r="B227" i="2"/>
  <c r="B226" i="2"/>
  <c r="Q225" i="2"/>
  <c r="N225" i="2"/>
  <c r="B225" i="2"/>
  <c r="B224" i="2"/>
  <c r="Q223" i="2"/>
  <c r="N223" i="2"/>
  <c r="B223" i="2"/>
  <c r="B222" i="2"/>
  <c r="Q221" i="2"/>
  <c r="N221" i="2"/>
  <c r="B221" i="2"/>
  <c r="B220" i="2"/>
  <c r="Q219" i="2"/>
  <c r="N219" i="2"/>
  <c r="B219" i="2"/>
  <c r="B218" i="2"/>
  <c r="Q217" i="2"/>
  <c r="N217" i="2"/>
  <c r="B217" i="2"/>
  <c r="B216" i="2"/>
  <c r="Q215" i="2"/>
  <c r="N215" i="2"/>
  <c r="B215" i="2"/>
  <c r="B213" i="2"/>
  <c r="Q212" i="2"/>
  <c r="N212" i="2"/>
  <c r="B212" i="2"/>
  <c r="B211" i="2"/>
  <c r="Q210" i="2"/>
  <c r="N210" i="2"/>
  <c r="B210" i="2"/>
  <c r="H253" i="2"/>
  <c r="H254" i="2"/>
  <c r="H255" i="2"/>
  <c r="H256" i="2"/>
  <c r="H257" i="2"/>
  <c r="H258" i="2"/>
  <c r="H259" i="2"/>
  <c r="H260" i="2"/>
  <c r="H261" i="2"/>
  <c r="H252" i="2"/>
  <c r="I252" i="2"/>
  <c r="I254" i="2"/>
  <c r="I256" i="2"/>
  <c r="I258" i="2"/>
  <c r="I260" i="2"/>
  <c r="G252" i="2"/>
  <c r="G254" i="2"/>
  <c r="G256" i="2"/>
  <c r="G258" i="2"/>
  <c r="G260" i="2"/>
  <c r="L210" i="2" l="1"/>
  <c r="L215" i="2"/>
  <c r="L219" i="2"/>
  <c r="L223" i="2"/>
  <c r="L227" i="2"/>
  <c r="L231" i="2"/>
  <c r="L235" i="2"/>
  <c r="R235" i="2" s="1"/>
  <c r="L239" i="2"/>
  <c r="R239" i="2" s="1"/>
  <c r="L243" i="2"/>
  <c r="L247" i="2"/>
  <c r="L212" i="2"/>
  <c r="R212" i="2" s="1"/>
  <c r="L217" i="2"/>
  <c r="R217" i="2" s="1"/>
  <c r="L221" i="2"/>
  <c r="L225" i="2"/>
  <c r="L229" i="2"/>
  <c r="R229" i="2" s="1"/>
  <c r="L233" i="2"/>
  <c r="R233" i="2" s="1"/>
  <c r="L237" i="2"/>
  <c r="L241" i="2"/>
  <c r="L245" i="2"/>
  <c r="R245" i="2" s="1"/>
  <c r="L249" i="2"/>
  <c r="R249" i="2" s="1"/>
  <c r="R210" i="2"/>
  <c r="R215" i="2"/>
  <c r="R219" i="2"/>
  <c r="R223" i="2"/>
  <c r="R227" i="2"/>
  <c r="R231" i="2"/>
  <c r="R237" i="2"/>
  <c r="R241" i="2"/>
  <c r="R243" i="2"/>
  <c r="R247" i="2"/>
  <c r="R221" i="2"/>
  <c r="R225" i="2"/>
  <c r="F254" i="2"/>
  <c r="F256" i="2"/>
  <c r="F258" i="2"/>
  <c r="F260" i="2"/>
  <c r="B261" i="2"/>
  <c r="Q260" i="2"/>
  <c r="N260" i="2"/>
  <c r="B260" i="2"/>
  <c r="B259" i="2"/>
  <c r="Q258" i="2"/>
  <c r="N258" i="2"/>
  <c r="B258" i="2"/>
  <c r="B257" i="2"/>
  <c r="Q256" i="2"/>
  <c r="N256" i="2"/>
  <c r="B256" i="2"/>
  <c r="B255" i="2"/>
  <c r="Q254" i="2"/>
  <c r="N254" i="2"/>
  <c r="B254" i="2"/>
  <c r="L256" i="2" l="1"/>
  <c r="R256" i="2" s="1"/>
  <c r="L260" i="2"/>
  <c r="R260" i="2" s="1"/>
  <c r="L254" i="2"/>
  <c r="R254" i="2" s="1"/>
  <c r="L258" i="2"/>
  <c r="R258" i="2" s="1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71" i="2"/>
  <c r="I271" i="2"/>
  <c r="I273" i="2"/>
  <c r="I275" i="2"/>
  <c r="I277" i="2"/>
  <c r="I279" i="2"/>
  <c r="I281" i="2"/>
  <c r="I283" i="2"/>
  <c r="I285" i="2"/>
  <c r="G271" i="2"/>
  <c r="G273" i="2"/>
  <c r="B273" i="2" s="1"/>
  <c r="G275" i="2"/>
  <c r="B275" i="2" s="1"/>
  <c r="G277" i="2"/>
  <c r="B277" i="2" s="1"/>
  <c r="G279" i="2"/>
  <c r="G281" i="2"/>
  <c r="B281" i="2" s="1"/>
  <c r="G283" i="2"/>
  <c r="B283" i="2" s="1"/>
  <c r="G285" i="2"/>
  <c r="B285" i="2" s="1"/>
  <c r="F273" i="2"/>
  <c r="F275" i="2"/>
  <c r="F277" i="2"/>
  <c r="F279" i="2"/>
  <c r="F281" i="2"/>
  <c r="F283" i="2"/>
  <c r="F285" i="2"/>
  <c r="B286" i="2"/>
  <c r="Q285" i="2"/>
  <c r="N285" i="2"/>
  <c r="B284" i="2"/>
  <c r="Q283" i="2"/>
  <c r="N283" i="2"/>
  <c r="Q281" i="2"/>
  <c r="N281" i="2"/>
  <c r="B280" i="2"/>
  <c r="Q279" i="2"/>
  <c r="N279" i="2"/>
  <c r="B279" i="2"/>
  <c r="B278" i="2"/>
  <c r="Q277" i="2"/>
  <c r="N277" i="2"/>
  <c r="Q275" i="2"/>
  <c r="N275" i="2"/>
  <c r="Q273" i="2"/>
  <c r="N273" i="2"/>
  <c r="B274" i="2" l="1"/>
  <c r="B276" i="2"/>
  <c r="B282" i="2"/>
  <c r="L275" i="2"/>
  <c r="R275" i="2" s="1"/>
  <c r="L279" i="2"/>
  <c r="R279" i="2" s="1"/>
  <c r="L283" i="2"/>
  <c r="L273" i="2"/>
  <c r="L277" i="2"/>
  <c r="L281" i="2"/>
  <c r="L285" i="2"/>
  <c r="R285" i="2" s="1"/>
  <c r="R273" i="2"/>
  <c r="R277" i="2"/>
  <c r="R281" i="2"/>
  <c r="R283" i="2"/>
  <c r="C16" i="2"/>
  <c r="C24" i="2"/>
  <c r="C34" i="2"/>
  <c r="C38" i="2"/>
  <c r="C56" i="2"/>
  <c r="C78" i="2"/>
  <c r="C86" i="2"/>
  <c r="C95" i="2"/>
  <c r="C99" i="2"/>
  <c r="C119" i="2"/>
  <c r="C141" i="2"/>
  <c r="C145" i="2"/>
  <c r="C149" i="2"/>
  <c r="C153" i="2"/>
  <c r="C157" i="2"/>
  <c r="C161" i="2"/>
  <c r="C165" i="2"/>
  <c r="C169" i="2"/>
  <c r="C173" i="2"/>
  <c r="C177" i="2"/>
  <c r="C185" i="2"/>
  <c r="C189" i="2"/>
  <c r="C193" i="2"/>
  <c r="C199" i="2"/>
  <c r="C203" i="2"/>
  <c r="C207" i="2"/>
  <c r="C251" i="2"/>
  <c r="C262" i="2"/>
  <c r="C266" i="2"/>
  <c r="C270" i="2"/>
  <c r="C288" i="2"/>
  <c r="B12" i="2" l="1"/>
  <c r="Q271" i="2" l="1"/>
  <c r="N271" i="2"/>
  <c r="L271" i="2"/>
  <c r="B270" i="2"/>
  <c r="B287" i="2"/>
  <c r="B272" i="2"/>
  <c r="B271" i="2"/>
  <c r="Q263" i="2"/>
  <c r="N263" i="2"/>
  <c r="L263" i="2"/>
  <c r="B262" i="2"/>
  <c r="B265" i="2"/>
  <c r="B264" i="2"/>
  <c r="B263" i="2"/>
  <c r="Q208" i="2"/>
  <c r="N208" i="2"/>
  <c r="L208" i="2"/>
  <c r="B207" i="2"/>
  <c r="B209" i="2"/>
  <c r="B208" i="2"/>
  <c r="Q200" i="2"/>
  <c r="N200" i="2"/>
  <c r="L200" i="2"/>
  <c r="B199" i="2"/>
  <c r="B202" i="2"/>
  <c r="B201" i="2"/>
  <c r="B200" i="2"/>
  <c r="Q190" i="2"/>
  <c r="N190" i="2"/>
  <c r="L190" i="2"/>
  <c r="B192" i="2"/>
  <c r="B191" i="2"/>
  <c r="B190" i="2"/>
  <c r="B189" i="2"/>
  <c r="Q178" i="2"/>
  <c r="N178" i="2"/>
  <c r="L178" i="2"/>
  <c r="B177" i="2"/>
  <c r="B184" i="2"/>
  <c r="B179" i="2"/>
  <c r="B178" i="2"/>
  <c r="Q170" i="2"/>
  <c r="N170" i="2"/>
  <c r="L170" i="2"/>
  <c r="B169" i="2"/>
  <c r="B172" i="2"/>
  <c r="B171" i="2"/>
  <c r="B170" i="2"/>
  <c r="Q162" i="2"/>
  <c r="N162" i="2"/>
  <c r="L162" i="2"/>
  <c r="B161" i="2"/>
  <c r="B164" i="2"/>
  <c r="B163" i="2"/>
  <c r="B162" i="2"/>
  <c r="Q154" i="2"/>
  <c r="N154" i="2"/>
  <c r="L154" i="2"/>
  <c r="B153" i="2"/>
  <c r="B156" i="2"/>
  <c r="B155" i="2"/>
  <c r="B154" i="2"/>
  <c r="Q146" i="2"/>
  <c r="N146" i="2"/>
  <c r="L146" i="2"/>
  <c r="B145" i="2"/>
  <c r="B148" i="2"/>
  <c r="B147" i="2"/>
  <c r="B146" i="2"/>
  <c r="Q120" i="2"/>
  <c r="N120" i="2"/>
  <c r="L120" i="2"/>
  <c r="B119" i="2"/>
  <c r="B140" i="2"/>
  <c r="B121" i="2"/>
  <c r="B120" i="2"/>
  <c r="Q96" i="2"/>
  <c r="N96" i="2"/>
  <c r="L96" i="2"/>
  <c r="B95" i="2"/>
  <c r="B98" i="2"/>
  <c r="B97" i="2"/>
  <c r="B96" i="2"/>
  <c r="Q79" i="2"/>
  <c r="N79" i="2"/>
  <c r="L79" i="2"/>
  <c r="B78" i="2"/>
  <c r="B85" i="2"/>
  <c r="B80" i="2"/>
  <c r="B79" i="2"/>
  <c r="Q39" i="2"/>
  <c r="N39" i="2"/>
  <c r="L39" i="2"/>
  <c r="B38" i="2"/>
  <c r="B55" i="2"/>
  <c r="B40" i="2"/>
  <c r="B39" i="2"/>
  <c r="N25" i="2"/>
  <c r="L25" i="2"/>
  <c r="B33" i="2"/>
  <c r="B26" i="2"/>
  <c r="B25" i="2"/>
  <c r="B24" i="2"/>
  <c r="Q25" i="2"/>
  <c r="Q289" i="2"/>
  <c r="N289" i="2"/>
  <c r="L289" i="2"/>
  <c r="B288" i="2"/>
  <c r="B291" i="2"/>
  <c r="B290" i="2"/>
  <c r="B289" i="2"/>
  <c r="Q267" i="2"/>
  <c r="N267" i="2"/>
  <c r="L267" i="2"/>
  <c r="B266" i="2"/>
  <c r="B269" i="2"/>
  <c r="B268" i="2"/>
  <c r="B267" i="2"/>
  <c r="Q252" i="2"/>
  <c r="N252" i="2"/>
  <c r="L252" i="2"/>
  <c r="B251" i="2"/>
  <c r="B253" i="2"/>
  <c r="B252" i="2"/>
  <c r="Q204" i="2"/>
  <c r="N204" i="2"/>
  <c r="L204" i="2"/>
  <c r="B203" i="2"/>
  <c r="B206" i="2"/>
  <c r="B205" i="2"/>
  <c r="B204" i="2"/>
  <c r="Q194" i="2"/>
  <c r="N194" i="2"/>
  <c r="L194" i="2"/>
  <c r="B193" i="2"/>
  <c r="B198" i="2"/>
  <c r="B195" i="2"/>
  <c r="B194" i="2"/>
  <c r="N186" i="2"/>
  <c r="L186" i="2"/>
  <c r="Q186" i="2"/>
  <c r="B188" i="2"/>
  <c r="B187" i="2"/>
  <c r="B185" i="2"/>
  <c r="B186" i="2"/>
  <c r="Q174" i="2"/>
  <c r="N174" i="2"/>
  <c r="L174" i="2"/>
  <c r="B173" i="2"/>
  <c r="B176" i="2"/>
  <c r="B175" i="2"/>
  <c r="B174" i="2"/>
  <c r="Q166" i="2"/>
  <c r="N166" i="2"/>
  <c r="L166" i="2"/>
  <c r="B165" i="2"/>
  <c r="B168" i="2"/>
  <c r="B167" i="2"/>
  <c r="B166" i="2"/>
  <c r="Q158" i="2"/>
  <c r="N158" i="2"/>
  <c r="L158" i="2"/>
  <c r="B157" i="2"/>
  <c r="B160" i="2"/>
  <c r="B159" i="2"/>
  <c r="B158" i="2"/>
  <c r="Q150" i="2"/>
  <c r="N150" i="2"/>
  <c r="L150" i="2"/>
  <c r="B149" i="2"/>
  <c r="B152" i="2"/>
  <c r="B151" i="2"/>
  <c r="B150" i="2"/>
  <c r="Q142" i="2"/>
  <c r="N142" i="2"/>
  <c r="L142" i="2"/>
  <c r="B144" i="2"/>
  <c r="B143" i="2"/>
  <c r="B141" i="2"/>
  <c r="B142" i="2"/>
  <c r="Q100" i="2"/>
  <c r="N100" i="2"/>
  <c r="L100" i="2"/>
  <c r="B99" i="2"/>
  <c r="B118" i="2"/>
  <c r="B101" i="2"/>
  <c r="B100" i="2"/>
  <c r="Q87" i="2"/>
  <c r="N87" i="2"/>
  <c r="L87" i="2"/>
  <c r="B86" i="2"/>
  <c r="B88" i="2"/>
  <c r="B87" i="2"/>
  <c r="Q57" i="2"/>
  <c r="N57" i="2"/>
  <c r="L57" i="2"/>
  <c r="B56" i="2"/>
  <c r="B77" i="2"/>
  <c r="B58" i="2"/>
  <c r="B57" i="2"/>
  <c r="Q35" i="2"/>
  <c r="N35" i="2"/>
  <c r="L35" i="2"/>
  <c r="B34" i="2"/>
  <c r="B37" i="2"/>
  <c r="B36" i="2"/>
  <c r="B35" i="2"/>
  <c r="Q17" i="2"/>
  <c r="N17" i="2"/>
  <c r="L17" i="2"/>
  <c r="B23" i="2"/>
  <c r="B18" i="2"/>
  <c r="B17" i="2"/>
  <c r="B16" i="2"/>
  <c r="B13" i="2"/>
  <c r="R186" i="2" l="1"/>
  <c r="R25" i="2"/>
  <c r="R35" i="2"/>
  <c r="R87" i="2"/>
  <c r="R142" i="2"/>
  <c r="R158" i="2"/>
  <c r="R174" i="2"/>
  <c r="R194" i="2"/>
  <c r="R252" i="2"/>
  <c r="R289" i="2"/>
  <c r="R39" i="2"/>
  <c r="R96" i="2"/>
  <c r="R146" i="2"/>
  <c r="R162" i="2"/>
  <c r="R178" i="2"/>
  <c r="R200" i="2"/>
  <c r="R263" i="2"/>
  <c r="R17" i="2"/>
  <c r="R57" i="2"/>
  <c r="R100" i="2"/>
  <c r="R150" i="2"/>
  <c r="R166" i="2"/>
  <c r="R204" i="2"/>
  <c r="R267" i="2"/>
  <c r="R79" i="2"/>
  <c r="R120" i="2"/>
  <c r="R154" i="2"/>
  <c r="R170" i="2"/>
  <c r="R190" i="2"/>
  <c r="R208" i="2"/>
  <c r="R271" i="2"/>
  <c r="L13" i="2"/>
  <c r="N13" i="2"/>
  <c r="Q13" i="2"/>
  <c r="B14" i="2"/>
  <c r="B15" i="2"/>
  <c r="R13" i="2" l="1"/>
</calcChain>
</file>

<file path=xl/sharedStrings.xml><?xml version="1.0" encoding="utf-8"?>
<sst xmlns="http://schemas.openxmlformats.org/spreadsheetml/2006/main" count="675" uniqueCount="179">
  <si>
    <t>Auto+Hide</t>
  </si>
  <si>
    <t>Description</t>
  </si>
  <si>
    <t>fit</t>
  </si>
  <si>
    <t>hide</t>
  </si>
  <si>
    <t>Unit Type</t>
  </si>
  <si>
    <t>CAF</t>
  </si>
  <si>
    <t>Quantity</t>
  </si>
  <si>
    <t>Hide</t>
  </si>
  <si>
    <t>Code</t>
  </si>
  <si>
    <t>Key</t>
  </si>
  <si>
    <t>********</t>
  </si>
  <si>
    <t>Item Number</t>
  </si>
  <si>
    <t>Gross Weight</t>
  </si>
  <si>
    <t>key</t>
  </si>
  <si>
    <t>Shared Maintenance Fee</t>
  </si>
  <si>
    <t>Handling</t>
  </si>
  <si>
    <t>Agency:</t>
  </si>
  <si>
    <t>Shopper</t>
  </si>
  <si>
    <t>Purchased cost</t>
  </si>
  <si>
    <t>hide+?</t>
  </si>
  <si>
    <t>Handling/lb</t>
  </si>
  <si>
    <t>VAP/lb</t>
  </si>
  <si>
    <t>Unit</t>
  </si>
  <si>
    <t>VPA</t>
  </si>
  <si>
    <t>Fit</t>
  </si>
  <si>
    <t xml:space="preserve">The Community Pantry Shopping List </t>
  </si>
  <si>
    <t>Auto+Hide+values</t>
  </si>
  <si>
    <t>Auto</t>
  </si>
  <si>
    <t/>
  </si>
  <si>
    <t>"Ceres4","TCP-LIVE","14012281","1","BABY"</t>
  </si>
  <si>
    <t>BABY</t>
  </si>
  <si>
    <t>BAKERY</t>
  </si>
  <si>
    <t>BEVERAGE</t>
  </si>
  <si>
    <t>BREAD</t>
  </si>
  <si>
    <t>CEREAL/BRK</t>
  </si>
  <si>
    <t>CONDIMENT</t>
  </si>
  <si>
    <t>DAIRY</t>
  </si>
  <si>
    <t>DESSERT</t>
  </si>
  <si>
    <t>DRESSING</t>
  </si>
  <si>
    <t>ENTREE</t>
  </si>
  <si>
    <t>FRUIT/ VEG</t>
  </si>
  <si>
    <t>GRAIN</t>
  </si>
  <si>
    <t>HOUSE PAP</t>
  </si>
  <si>
    <t>HOUSE/SAN</t>
  </si>
  <si>
    <t>JUICE</t>
  </si>
  <si>
    <t>MIXED/ASST</t>
  </si>
  <si>
    <t>NF</t>
  </si>
  <si>
    <t>NONDAIRY</t>
  </si>
  <si>
    <t>NUTRITION</t>
  </si>
  <si>
    <t>OTC</t>
  </si>
  <si>
    <t>PASTA</t>
  </si>
  <si>
    <t>PASTRY</t>
  </si>
  <si>
    <t>PER PAP</t>
  </si>
  <si>
    <t>PERSONAL</t>
  </si>
  <si>
    <t>PET</t>
  </si>
  <si>
    <t>PRODUCE</t>
  </si>
  <si>
    <t>PRO-MEAT</t>
  </si>
  <si>
    <t>PRO-NON</t>
  </si>
  <si>
    <t>RICE</t>
  </si>
  <si>
    <t>SALVAGE</t>
  </si>
  <si>
    <t>SNACK</t>
  </si>
  <si>
    <t>SOUP</t>
  </si>
  <si>
    <t>Rice</t>
  </si>
  <si>
    <t>Sorted or Unsorted Salvage Products</t>
  </si>
  <si>
    <t>Snack Products</t>
  </si>
  <si>
    <t>Soup Products</t>
  </si>
  <si>
    <t>0</t>
  </si>
  <si>
    <t>"Ceres4","TCP-LIVE","27","1","600293"</t>
  </si>
  <si>
    <t>Protein - Non-Meat Products</t>
  </si>
  <si>
    <t>"Ceres4","TCP-LIVE","27","1","P250049"</t>
  </si>
  <si>
    <t>Grain-based Products</t>
  </si>
  <si>
    <t>Household Paper &amp; Plastic Items</t>
  </si>
  <si>
    <t>P950036</t>
  </si>
  <si>
    <t>Household and Sanitation Products</t>
  </si>
  <si>
    <t>P997003</t>
  </si>
  <si>
    <t>Juices</t>
  </si>
  <si>
    <t>Mixed and Assorted Food Products</t>
  </si>
  <si>
    <t>Non-Food Items and Products</t>
  </si>
  <si>
    <t>Non-Dairy Food Item</t>
  </si>
  <si>
    <t>Nutritional Aid Products</t>
  </si>
  <si>
    <t>OTC Pharmaceuticals</t>
  </si>
  <si>
    <t>Pasta Products</t>
  </si>
  <si>
    <t>P650000</t>
  </si>
  <si>
    <t>P650001</t>
  </si>
  <si>
    <t>P650004</t>
  </si>
  <si>
    <t>Pastry Products</t>
  </si>
  <si>
    <t>Personal Paper Products</t>
  </si>
  <si>
    <t>Personal Care Products</t>
  </si>
  <si>
    <t>P970001</t>
  </si>
  <si>
    <t>P997001</t>
  </si>
  <si>
    <t>Pet Foods</t>
  </si>
  <si>
    <t>Produce - Fresh</t>
  </si>
  <si>
    <t>Protein - Meat Products</t>
  </si>
  <si>
    <t>CS</t>
  </si>
  <si>
    <t>BAG</t>
  </si>
  <si>
    <t>Household - Cutlery Forks</t>
  </si>
  <si>
    <t>24- 24 ct</t>
  </si>
  <si>
    <t>Personal Care - X Large Diapers</t>
  </si>
  <si>
    <t>4-44 ct</t>
  </si>
  <si>
    <t>Pasta-Pasta Macaroni &amp; Cheese Mix</t>
  </si>
  <si>
    <t>24-7 oz</t>
  </si>
  <si>
    <t>Pasta - Shells and Cheese</t>
  </si>
  <si>
    <t>12- 12 oz</t>
  </si>
  <si>
    <t>Pasta-Pasta Thin Spaghetti</t>
  </si>
  <si>
    <t>20-1 lb</t>
  </si>
  <si>
    <t>Personal-Health Surely Smooth Shampoo</t>
  </si>
  <si>
    <t>12/13 oz</t>
  </si>
  <si>
    <t>Personal-Health Medium Diapers</t>
  </si>
  <si>
    <t>4-50ct</t>
  </si>
  <si>
    <t>"Ceres4","TCP-LIVE","27","1","400094"</t>
  </si>
  <si>
    <t>"Ceres4","TCP-LIVE","27","1","P970001"</t>
  </si>
  <si>
    <t>"Ceres4","TCP-LIVE","27","1","P950036"</t>
  </si>
  <si>
    <t>"Ceres4","TCP-LIVE","27","1","P997003"</t>
  </si>
  <si>
    <t>"Ceres4","TCP-LIVE","27","1","P650000"</t>
  </si>
  <si>
    <t>Fruit and Vegetable Products</t>
  </si>
  <si>
    <t>"Ceres4","TCP-LIVE","27","1","P300001"</t>
  </si>
  <si>
    <t>Dairy Products</t>
  </si>
  <si>
    <t>P169997</t>
  </si>
  <si>
    <t>P169998</t>
  </si>
  <si>
    <t>P169999</t>
  </si>
  <si>
    <t>Dessert Products</t>
  </si>
  <si>
    <t>P580002</t>
  </si>
  <si>
    <t>P580004</t>
  </si>
  <si>
    <t>P580005</t>
  </si>
  <si>
    <t>P580006</t>
  </si>
  <si>
    <t>Dressing Products</t>
  </si>
  <si>
    <t>Entrees and Main Dish Items</t>
  </si>
  <si>
    <t>EA</t>
  </si>
  <si>
    <t>Dairy - Monterey Jack and Cheddar Cheese</t>
  </si>
  <si>
    <t>1-5 lb bag</t>
  </si>
  <si>
    <t>Dairy - Sliced Cheese</t>
  </si>
  <si>
    <t>1-5 lb</t>
  </si>
  <si>
    <t>Dairy - Shredded Cheddar Cheese</t>
  </si>
  <si>
    <t>1 - 5 lb bag</t>
  </si>
  <si>
    <t>Dessert- Cherry Pie Filling</t>
  </si>
  <si>
    <t>12-21 oz</t>
  </si>
  <si>
    <t>Dessert- Chocolate Cream Pie Filling</t>
  </si>
  <si>
    <t>Dessert - Key Lime Cream Pie Filling</t>
  </si>
  <si>
    <t>Dessert - Polar Peach PIe Filling</t>
  </si>
  <si>
    <t>12-16 oz</t>
  </si>
  <si>
    <t>"Ceres4","TCP-LIVE","27","1","085106"</t>
  </si>
  <si>
    <t>"Ceres4","TCP-LIVE","27","1","P580002"</t>
  </si>
  <si>
    <t>"Ceres4","TCP-LIVE","27","1","P169997"</t>
  </si>
  <si>
    <t>Condiment Products</t>
  </si>
  <si>
    <t>"Ceres4","TCP-LIVE","27","1","100061"</t>
  </si>
  <si>
    <t>Baby Foods</t>
  </si>
  <si>
    <t>Bakery Products (needs Baking or used in Baking)</t>
  </si>
  <si>
    <t>670035</t>
  </si>
  <si>
    <t>P520021</t>
  </si>
  <si>
    <t>P520024</t>
  </si>
  <si>
    <t>Beverages</t>
  </si>
  <si>
    <t>020046</t>
  </si>
  <si>
    <t>020060</t>
  </si>
  <si>
    <t>P029991</t>
  </si>
  <si>
    <t>P030007</t>
  </si>
  <si>
    <t>Bread Products</t>
  </si>
  <si>
    <t>P520006</t>
  </si>
  <si>
    <t>Cereal and Breakfast Products</t>
  </si>
  <si>
    <t>Baking - Flour</t>
  </si>
  <si>
    <t>4-10 lb</t>
  </si>
  <si>
    <t>Baking - Fudge Brownie Mix</t>
  </si>
  <si>
    <t>12-10 oz</t>
  </si>
  <si>
    <t>Baking- Biscuit Mix</t>
  </si>
  <si>
    <t>Beverage - Propel Fitness</t>
  </si>
  <si>
    <t>24-17 oz</t>
  </si>
  <si>
    <t>Beverage-Gatorade</t>
  </si>
  <si>
    <t>12-32 oz</t>
  </si>
  <si>
    <t>Beverage - Roast Coffee medium</t>
  </si>
  <si>
    <t>12-12 oz</t>
  </si>
  <si>
    <t xml:space="preserve">Beverage- Cranberry Grape </t>
  </si>
  <si>
    <t>48-4 oz</t>
  </si>
  <si>
    <t>Bakery-Corn Muffin Mix</t>
  </si>
  <si>
    <t>24-8 oz</t>
  </si>
  <si>
    <t>"Ceres4","TCP-LIVE","27","1","P520006"</t>
  </si>
  <si>
    <t>"Ceres4","TCP-LIVE","27","1","070418"</t>
  </si>
  <si>
    <t>"Ceres4","TCP-LIVE","27","1","020046"</t>
  </si>
  <si>
    <t>"Ceres4","TCP-LIVE","27","1","670035"</t>
  </si>
  <si>
    <t>Date:___4/11/18____</t>
  </si>
  <si>
    <t>these are not the small breakfast links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</si>
</sst>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1"/>
  <sheetViews>
    <sheetView tabSelected="1" topLeftCell="E3" zoomScaleNormal="100" workbookViewId="0">
      <selection activeCell="U283" sqref="U283"/>
    </sheetView>
  </sheetViews>
  <sheetFormatPr defaultRowHeight="15" x14ac:dyDescent="0.25"/>
  <cols>
    <col min="1" max="4" width="9.140625" hidden="1" customWidth="1"/>
    <col min="5" max="5" width="10.7109375" bestFit="1" customWidth="1"/>
    <col min="6" max="6" width="9.140625" hidden="1" customWidth="1"/>
    <col min="7" max="7" width="10.7109375" customWidth="1"/>
    <col min="8" max="8" width="43.140625" bestFit="1" customWidth="1"/>
    <col min="9" max="9" width="5.28515625" bestFit="1" customWidth="1"/>
    <col min="10" max="10" width="12.7109375" bestFit="1" customWidth="1"/>
    <col min="11" max="17" width="8.42578125" hidden="1" customWidth="1"/>
    <col min="18" max="18" width="15.42578125" customWidth="1"/>
    <col min="21" max="21" width="14" bestFit="1" customWidth="1"/>
  </cols>
  <sheetData>
    <row r="1" spans="1:21" hidden="1" x14ac:dyDescent="0.25">
      <c r="A1" t="s">
        <v>26</v>
      </c>
      <c r="B1" t="s">
        <v>19</v>
      </c>
      <c r="C1" t="s">
        <v>3</v>
      </c>
      <c r="D1" t="s">
        <v>7</v>
      </c>
      <c r="E1" t="s">
        <v>2</v>
      </c>
      <c r="F1" t="s">
        <v>7</v>
      </c>
      <c r="H1" t="s">
        <v>2</v>
      </c>
      <c r="I1" t="s">
        <v>24</v>
      </c>
      <c r="J1" t="s">
        <v>24</v>
      </c>
      <c r="K1" t="s">
        <v>3</v>
      </c>
      <c r="L1" t="s">
        <v>7</v>
      </c>
      <c r="M1" t="s">
        <v>3</v>
      </c>
      <c r="N1" t="s">
        <v>7</v>
      </c>
      <c r="O1" t="s">
        <v>3</v>
      </c>
      <c r="P1" t="s">
        <v>7</v>
      </c>
      <c r="Q1" t="s">
        <v>7</v>
      </c>
      <c r="U1" s="7"/>
    </row>
    <row r="2" spans="1:21" hidden="1" x14ac:dyDescent="0.25">
      <c r="A2" t="s">
        <v>7</v>
      </c>
      <c r="C2" t="s">
        <v>13</v>
      </c>
      <c r="D2" t="s">
        <v>8</v>
      </c>
      <c r="F2" t="s">
        <v>9</v>
      </c>
      <c r="K2" t="s">
        <v>20</v>
      </c>
      <c r="L2" t="s">
        <v>15</v>
      </c>
      <c r="M2" t="s">
        <v>21</v>
      </c>
      <c r="N2" t="s">
        <v>23</v>
      </c>
      <c r="O2" t="s">
        <v>5</v>
      </c>
      <c r="P2" t="s">
        <v>22</v>
      </c>
      <c r="Q2" t="s">
        <v>18</v>
      </c>
    </row>
    <row r="3" spans="1:21" ht="23.25" x14ac:dyDescent="0.35">
      <c r="C3" s="17" t="s">
        <v>25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1" ht="23.25" x14ac:dyDescent="0.35">
      <c r="C4" s="16" t="s">
        <v>177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1" ht="15.75" thickBot="1" x14ac:dyDescent="0.3"/>
    <row r="6" spans="1:21" ht="24" customHeight="1" thickBot="1" x14ac:dyDescent="0.3">
      <c r="E6" s="11" t="s">
        <v>16</v>
      </c>
      <c r="F6" s="3"/>
      <c r="G6" s="14"/>
      <c r="H6" s="15"/>
      <c r="J6" s="3"/>
      <c r="R6" s="12"/>
    </row>
    <row r="7" spans="1:21" ht="15.75" thickBot="1" x14ac:dyDescent="0.3">
      <c r="E7" s="10"/>
      <c r="F7" s="3"/>
      <c r="J7" s="3"/>
    </row>
    <row r="8" spans="1:21" ht="23.25" customHeight="1" thickBot="1" x14ac:dyDescent="0.3">
      <c r="E8" s="11" t="s">
        <v>17</v>
      </c>
      <c r="F8" s="3"/>
      <c r="G8" s="14"/>
      <c r="H8" s="15"/>
      <c r="J8" s="3"/>
      <c r="R8" s="12"/>
    </row>
    <row r="9" spans="1:21" ht="23.25" customHeight="1" x14ac:dyDescent="0.25">
      <c r="E9" s="11"/>
      <c r="F9" s="3"/>
      <c r="G9" s="13"/>
      <c r="H9" s="13"/>
      <c r="J9" s="3"/>
      <c r="R9" s="12"/>
    </row>
    <row r="11" spans="1:21" ht="46.5" customHeight="1" x14ac:dyDescent="0.25">
      <c r="E11" t="s">
        <v>6</v>
      </c>
      <c r="G11" s="4" t="s">
        <v>11</v>
      </c>
      <c r="H11" t="s">
        <v>1</v>
      </c>
      <c r="I11" s="4" t="s">
        <v>4</v>
      </c>
      <c r="J11" s="4" t="s">
        <v>12</v>
      </c>
      <c r="K11" s="4"/>
      <c r="L11" s="4"/>
      <c r="M11" s="4"/>
      <c r="N11" s="4"/>
      <c r="O11" s="4"/>
      <c r="P11" s="4"/>
      <c r="Q11" s="4"/>
      <c r="R11" s="4" t="s">
        <v>14</v>
      </c>
    </row>
    <row r="12" spans="1:21" ht="17.25" hidden="1" x14ac:dyDescent="0.3">
      <c r="B12" t="str">
        <f>IF($G13="","Hide","Show")</f>
        <v>Hide</v>
      </c>
      <c r="C12" t="s">
        <v>29</v>
      </c>
      <c r="D12" t="s">
        <v>30</v>
      </c>
      <c r="E12" s="9" t="s">
        <v>10</v>
      </c>
      <c r="F12" s="2"/>
      <c r="G12" s="8" t="s">
        <v>145</v>
      </c>
    </row>
    <row r="13" spans="1:21" hidden="1" x14ac:dyDescent="0.25">
      <c r="B13" t="str">
        <f>IF($G13="","Hide","Show")</f>
        <v>Hide</v>
      </c>
      <c r="E13" s="1"/>
      <c r="F13" t="s">
        <v>28</v>
      </c>
      <c r="G13" t="s">
        <v>28</v>
      </c>
      <c r="H13" t="s">
        <v>28</v>
      </c>
      <c r="I13" s="5" t="s">
        <v>28</v>
      </c>
      <c r="J13" s="5" t="s">
        <v>28</v>
      </c>
      <c r="K13" s="5" t="s">
        <v>66</v>
      </c>
      <c r="L13">
        <f>IFERROR(IF(K13*J13=0,"0",K13*J13),0)</f>
        <v>0</v>
      </c>
      <c r="M13" s="5" t="s">
        <v>28</v>
      </c>
      <c r="N13" t="e">
        <f>IF(M13*J13=0,"0",M13*J13)</f>
        <v>#VALUE!</v>
      </c>
      <c r="O13" s="5" t="s">
        <v>28</v>
      </c>
      <c r="P13" s="5" t="s">
        <v>28</v>
      </c>
      <c r="Q13" s="5" t="e">
        <f>P13*O13</f>
        <v>#VALUE!</v>
      </c>
      <c r="R13" s="6" t="str">
        <f>IFERROR(Q13+N13+L13,"")</f>
        <v/>
      </c>
    </row>
    <row r="14" spans="1:21" hidden="1" x14ac:dyDescent="0.25">
      <c r="B14" t="str">
        <f>IF($G13="","Hide","Show")</f>
        <v>Hide</v>
      </c>
      <c r="H14" t="s">
        <v>28</v>
      </c>
    </row>
    <row r="15" spans="1:21" hidden="1" x14ac:dyDescent="0.25">
      <c r="B15" t="str">
        <f>IF($G13="","Hide","Show")</f>
        <v>Hide</v>
      </c>
    </row>
    <row r="16" spans="1:21" ht="17.25" x14ac:dyDescent="0.3">
      <c r="A16" t="s">
        <v>27</v>
      </c>
      <c r="B16" t="str">
        <f t="shared" ref="B16" si="0">IF($G17="","Hide","Show")</f>
        <v>Show</v>
      </c>
      <c r="C16" t="str">
        <f>"""Ceres4"",""TCP-LIVE"",""14012281"",""1"",""BAKERY"""</f>
        <v>"Ceres4","TCP-LIVE","14012281","1","BAKERY"</v>
      </c>
      <c r="D16" t="s">
        <v>31</v>
      </c>
      <c r="E16" s="9" t="s">
        <v>10</v>
      </c>
      <c r="F16" s="2"/>
      <c r="G16" s="8" t="s">
        <v>146</v>
      </c>
    </row>
    <row r="17" spans="1:18" x14ac:dyDescent="0.25">
      <c r="A17" t="s">
        <v>27</v>
      </c>
      <c r="B17" t="str">
        <f t="shared" ref="B17:B21" si="1">IF($G17="","Hide","Show")</f>
        <v>Show</v>
      </c>
      <c r="E17" s="1"/>
      <c r="F17" t="s">
        <v>176</v>
      </c>
      <c r="G17" t="s">
        <v>147</v>
      </c>
      <c r="H17" t="s">
        <v>158</v>
      </c>
      <c r="I17" s="5" t="s">
        <v>93</v>
      </c>
      <c r="J17" s="5">
        <v>41</v>
      </c>
      <c r="K17" s="5">
        <v>0.19</v>
      </c>
      <c r="L17">
        <f t="shared" ref="L17" si="2">IFERROR(IF(K17*J17=0,"0",K17*J17),0)</f>
        <v>7.79</v>
      </c>
      <c r="M17" s="5">
        <v>0</v>
      </c>
      <c r="N17" t="str">
        <f t="shared" ref="N17" si="3">IF(M17*J17=0,"0",M17*J17)</f>
        <v>0</v>
      </c>
      <c r="O17" s="5">
        <v>1</v>
      </c>
      <c r="P17" s="5">
        <v>0</v>
      </c>
      <c r="Q17" s="5">
        <f t="shared" ref="Q17" si="4">P17*O17</f>
        <v>0</v>
      </c>
      <c r="R17" s="6">
        <f t="shared" ref="R17" si="5">IFERROR(Q17+N17+L17,"")</f>
        <v>7.79</v>
      </c>
    </row>
    <row r="18" spans="1:18" x14ac:dyDescent="0.25">
      <c r="A18" t="s">
        <v>27</v>
      </c>
      <c r="B18" t="str">
        <f t="shared" ref="B18" si="6">IF($G17="","Hide","Show")</f>
        <v>Show</v>
      </c>
      <c r="H18" t="s">
        <v>159</v>
      </c>
    </row>
    <row r="19" spans="1:18" x14ac:dyDescent="0.25">
      <c r="A19" t="s">
        <v>27</v>
      </c>
      <c r="B19" t="str">
        <f t="shared" si="1"/>
        <v>Show</v>
      </c>
      <c r="E19" s="1"/>
      <c r="F19" t="str">
        <f>"""Ceres4"",""TCP-LIVE"",""27"",""1"",""P520021"""</f>
        <v>"Ceres4","TCP-LIVE","27","1","P520021"</v>
      </c>
      <c r="G19" t="s">
        <v>148</v>
      </c>
      <c r="H19" t="s">
        <v>160</v>
      </c>
      <c r="I19" s="5" t="s">
        <v>93</v>
      </c>
      <c r="J19" s="5">
        <v>9</v>
      </c>
      <c r="K19" s="5">
        <v>0</v>
      </c>
      <c r="L19" t="str">
        <f t="shared" ref="L19" si="7">IFERROR(IF(K19*J19=0,"0",K19*J19),0)</f>
        <v>0</v>
      </c>
      <c r="M19" s="5">
        <v>0</v>
      </c>
      <c r="N19" t="str">
        <f t="shared" ref="N19" si="8">IF(M19*J19=0,"0",M19*J19)</f>
        <v>0</v>
      </c>
      <c r="O19" s="5">
        <v>1.2</v>
      </c>
      <c r="P19" s="5">
        <v>11.33</v>
      </c>
      <c r="Q19" s="5">
        <f t="shared" ref="Q19" si="9">P19*O19</f>
        <v>13.596</v>
      </c>
      <c r="R19" s="6">
        <f t="shared" ref="R19" si="10">IFERROR(Q19+N19+L19,"")</f>
        <v>13.596</v>
      </c>
    </row>
    <row r="20" spans="1:18" x14ac:dyDescent="0.25">
      <c r="A20" t="s">
        <v>27</v>
      </c>
      <c r="B20" t="str">
        <f t="shared" ref="B20" si="11">IF($G19="","Hide","Show")</f>
        <v>Show</v>
      </c>
      <c r="H20" t="s">
        <v>161</v>
      </c>
    </row>
    <row r="21" spans="1:18" x14ac:dyDescent="0.25">
      <c r="A21" t="s">
        <v>27</v>
      </c>
      <c r="B21" t="str">
        <f t="shared" si="1"/>
        <v>Show</v>
      </c>
      <c r="E21" s="1"/>
      <c r="F21" t="str">
        <f>"""Ceres4"",""TCP-LIVE"",""27"",""1"",""P520024"""</f>
        <v>"Ceres4","TCP-LIVE","27","1","P520024"</v>
      </c>
      <c r="G21" t="s">
        <v>149</v>
      </c>
      <c r="H21" t="s">
        <v>162</v>
      </c>
      <c r="I21" s="5" t="s">
        <v>93</v>
      </c>
      <c r="J21" s="5">
        <v>12</v>
      </c>
      <c r="K21" s="5">
        <v>0</v>
      </c>
      <c r="L21" t="str">
        <f t="shared" ref="L21" si="12">IFERROR(IF(K21*J21=0,"0",K21*J21),0)</f>
        <v>0</v>
      </c>
      <c r="M21" s="5">
        <v>0</v>
      </c>
      <c r="N21" t="str">
        <f t="shared" ref="N21" si="13">IF(M21*J21=0,"0",M21*J21)</f>
        <v>0</v>
      </c>
      <c r="O21" s="5">
        <v>1.2</v>
      </c>
      <c r="P21" s="5">
        <v>10.73</v>
      </c>
      <c r="Q21" s="5">
        <f t="shared" ref="Q21" si="14">P21*O21</f>
        <v>12.875999999999999</v>
      </c>
      <c r="R21" s="6">
        <f t="shared" ref="R21" si="15">IFERROR(Q21+N21+L21,"")</f>
        <v>12.875999999999999</v>
      </c>
    </row>
    <row r="22" spans="1:18" x14ac:dyDescent="0.25">
      <c r="A22" t="s">
        <v>27</v>
      </c>
      <c r="B22" t="str">
        <f t="shared" ref="B22" si="16">IF($G21="","Hide","Show")</f>
        <v>Show</v>
      </c>
      <c r="H22" t="s">
        <v>139</v>
      </c>
    </row>
    <row r="23" spans="1:18" x14ac:dyDescent="0.25">
      <c r="A23" t="s">
        <v>27</v>
      </c>
      <c r="B23" t="str">
        <f t="shared" ref="B23" si="17">IF($G17="","Hide","Show")</f>
        <v>Show</v>
      </c>
    </row>
    <row r="24" spans="1:18" ht="17.25" x14ac:dyDescent="0.3">
      <c r="A24" t="s">
        <v>27</v>
      </c>
      <c r="B24" t="str">
        <f t="shared" ref="B24" si="18">IF($G25="","Hide","Show")</f>
        <v>Show</v>
      </c>
      <c r="C24" t="str">
        <f>"""Ceres4"",""TCP-LIVE"",""14012281"",""1"",""BEVERAGE"""</f>
        <v>"Ceres4","TCP-LIVE","14012281","1","BEVERAGE"</v>
      </c>
      <c r="D24" t="s">
        <v>32</v>
      </c>
      <c r="E24" s="9" t="s">
        <v>10</v>
      </c>
      <c r="F24" s="2"/>
      <c r="G24" s="8" t="s">
        <v>150</v>
      </c>
    </row>
    <row r="25" spans="1:18" x14ac:dyDescent="0.25">
      <c r="A25" t="s">
        <v>27</v>
      </c>
      <c r="B25" t="str">
        <f t="shared" ref="B25:B31" si="19">IF($G25="","Hide","Show")</f>
        <v>Show</v>
      </c>
      <c r="E25" s="1"/>
      <c r="F25" t="s">
        <v>175</v>
      </c>
      <c r="G25" t="s">
        <v>151</v>
      </c>
      <c r="H25" t="s">
        <v>163</v>
      </c>
      <c r="I25" s="5" t="s">
        <v>93</v>
      </c>
      <c r="J25" s="5">
        <v>31</v>
      </c>
      <c r="K25" s="5">
        <v>0.19</v>
      </c>
      <c r="L25">
        <f t="shared" ref="L25" si="20">IFERROR(IF(K25*J25=0,"0",K25*J25),0)</f>
        <v>5.89</v>
      </c>
      <c r="M25" s="5">
        <v>0</v>
      </c>
      <c r="N25" t="str">
        <f t="shared" ref="N25" si="21">IF(M25*J25=0,"0",M25*J25)</f>
        <v>0</v>
      </c>
      <c r="O25" s="5">
        <v>1</v>
      </c>
      <c r="P25" s="5">
        <v>0</v>
      </c>
      <c r="Q25" s="5">
        <f t="shared" ref="Q25" si="22">P25*O25</f>
        <v>0</v>
      </c>
      <c r="R25" s="6">
        <f t="shared" ref="R25" si="23">IFERROR(Q25+N25+L25,"")</f>
        <v>5.89</v>
      </c>
    </row>
    <row r="26" spans="1:18" x14ac:dyDescent="0.25">
      <c r="A26" t="s">
        <v>27</v>
      </c>
      <c r="B26" t="str">
        <f t="shared" ref="B26" si="24">IF($G25="","Hide","Show")</f>
        <v>Show</v>
      </c>
      <c r="H26" t="s">
        <v>164</v>
      </c>
    </row>
    <row r="27" spans="1:18" x14ac:dyDescent="0.25">
      <c r="A27" t="s">
        <v>27</v>
      </c>
      <c r="B27" t="str">
        <f t="shared" si="19"/>
        <v>Show</v>
      </c>
      <c r="E27" s="1"/>
      <c r="F27" t="str">
        <f>"""Ceres4"",""TCP-LIVE"",""27"",""1"",""020060"""</f>
        <v>"Ceres4","TCP-LIVE","27","1","020060"</v>
      </c>
      <c r="G27" t="s">
        <v>152</v>
      </c>
      <c r="H27" t="s">
        <v>165</v>
      </c>
      <c r="I27" s="5" t="s">
        <v>93</v>
      </c>
      <c r="J27" s="5">
        <v>28</v>
      </c>
      <c r="K27" s="5">
        <v>0.19</v>
      </c>
      <c r="L27">
        <f t="shared" ref="L27" si="25">IFERROR(IF(K27*J27=0,"0",K27*J27),0)</f>
        <v>5.32</v>
      </c>
      <c r="M27" s="5">
        <v>0</v>
      </c>
      <c r="N27" t="str">
        <f t="shared" ref="N27" si="26">IF(M27*J27=0,"0",M27*J27)</f>
        <v>0</v>
      </c>
      <c r="O27" s="5">
        <v>1</v>
      </c>
      <c r="P27" s="5">
        <v>0</v>
      </c>
      <c r="Q27" s="5">
        <f t="shared" ref="Q27" si="27">P27*O27</f>
        <v>0</v>
      </c>
      <c r="R27" s="6">
        <f t="shared" ref="R27" si="28">IFERROR(Q27+N27+L27,"")</f>
        <v>5.32</v>
      </c>
    </row>
    <row r="28" spans="1:18" x14ac:dyDescent="0.25">
      <c r="A28" t="s">
        <v>27</v>
      </c>
      <c r="B28" t="str">
        <f t="shared" ref="B28" si="29">IF($G27="","Hide","Show")</f>
        <v>Show</v>
      </c>
      <c r="H28" t="s">
        <v>166</v>
      </c>
    </row>
    <row r="29" spans="1:18" x14ac:dyDescent="0.25">
      <c r="A29" t="s">
        <v>27</v>
      </c>
      <c r="B29" t="str">
        <f t="shared" si="19"/>
        <v>Show</v>
      </c>
      <c r="E29" s="1"/>
      <c r="F29" t="str">
        <f>"""Ceres4"",""TCP-LIVE"",""27"",""1"",""P029991"""</f>
        <v>"Ceres4","TCP-LIVE","27","1","P029991"</v>
      </c>
      <c r="G29" t="s">
        <v>153</v>
      </c>
      <c r="H29" t="s">
        <v>167</v>
      </c>
      <c r="I29" s="5" t="s">
        <v>93</v>
      </c>
      <c r="J29" s="5">
        <v>9</v>
      </c>
      <c r="K29" s="5">
        <v>0</v>
      </c>
      <c r="L29" t="str">
        <f t="shared" ref="L29" si="30">IFERROR(IF(K29*J29=0,"0",K29*J29),0)</f>
        <v>0</v>
      </c>
      <c r="M29" s="5">
        <v>0</v>
      </c>
      <c r="N29" t="str">
        <f t="shared" ref="N29" si="31">IF(M29*J29=0,"0",M29*J29)</f>
        <v>0</v>
      </c>
      <c r="O29" s="5">
        <v>1.1499999999999999</v>
      </c>
      <c r="P29" s="5">
        <v>24.6</v>
      </c>
      <c r="Q29" s="5">
        <f t="shared" ref="Q29" si="32">P29*O29</f>
        <v>28.29</v>
      </c>
      <c r="R29" s="6">
        <f t="shared" ref="R29" si="33">IFERROR(Q29+N29+L29,"")</f>
        <v>28.29</v>
      </c>
    </row>
    <row r="30" spans="1:18" x14ac:dyDescent="0.25">
      <c r="A30" t="s">
        <v>27</v>
      </c>
      <c r="B30" t="str">
        <f t="shared" ref="B30" si="34">IF($G29="","Hide","Show")</f>
        <v>Show</v>
      </c>
      <c r="H30" t="s">
        <v>168</v>
      </c>
    </row>
    <row r="31" spans="1:18" x14ac:dyDescent="0.25">
      <c r="A31" t="s">
        <v>27</v>
      </c>
      <c r="B31" t="str">
        <f t="shared" si="19"/>
        <v>Show</v>
      </c>
      <c r="E31" s="1"/>
      <c r="F31" t="str">
        <f>"""Ceres4"",""TCP-LIVE"",""27"",""1"",""P030007"""</f>
        <v>"Ceres4","TCP-LIVE","27","1","P030007"</v>
      </c>
      <c r="G31" t="s">
        <v>154</v>
      </c>
      <c r="H31" t="s">
        <v>169</v>
      </c>
      <c r="I31" s="5" t="s">
        <v>93</v>
      </c>
      <c r="J31" s="5">
        <v>12</v>
      </c>
      <c r="K31" s="5">
        <v>0</v>
      </c>
      <c r="L31" t="str">
        <f t="shared" ref="L31" si="35">IFERROR(IF(K31*J31=0,"0",K31*J31),0)</f>
        <v>0</v>
      </c>
      <c r="M31" s="5">
        <v>0</v>
      </c>
      <c r="N31" t="str">
        <f t="shared" ref="N31" si="36">IF(M31*J31=0,"0",M31*J31)</f>
        <v>0</v>
      </c>
      <c r="O31" s="5">
        <v>1.1399999999999999</v>
      </c>
      <c r="P31" s="5">
        <v>16.07</v>
      </c>
      <c r="Q31" s="5">
        <f t="shared" ref="Q31" si="37">P31*O31</f>
        <v>18.319799999999997</v>
      </c>
      <c r="R31" s="6">
        <f t="shared" ref="R31" si="38">IFERROR(Q31+N31+L31,"")</f>
        <v>18.319799999999997</v>
      </c>
    </row>
    <row r="32" spans="1:18" x14ac:dyDescent="0.25">
      <c r="A32" t="s">
        <v>27</v>
      </c>
      <c r="B32" t="str">
        <f t="shared" ref="B32" si="39">IF($G31="","Hide","Show")</f>
        <v>Show</v>
      </c>
      <c r="H32" t="s">
        <v>170</v>
      </c>
    </row>
    <row r="33" spans="1:18" x14ac:dyDescent="0.25">
      <c r="A33" t="s">
        <v>27</v>
      </c>
      <c r="B33" t="str">
        <f t="shared" ref="B33" si="40">IF($G25="","Hide","Show")</f>
        <v>Show</v>
      </c>
    </row>
    <row r="34" spans="1:18" ht="17.25" x14ac:dyDescent="0.3">
      <c r="A34" t="s">
        <v>27</v>
      </c>
      <c r="B34" t="str">
        <f t="shared" ref="B34" si="41">IF($G35="","Hide","Show")</f>
        <v>Show</v>
      </c>
      <c r="C34" t="str">
        <f>"""Ceres4"",""TCP-LIVE"",""14012281"",""1"",""BREAD"""</f>
        <v>"Ceres4","TCP-LIVE","14012281","1","BREAD"</v>
      </c>
      <c r="D34" t="s">
        <v>33</v>
      </c>
      <c r="E34" s="9" t="s">
        <v>10</v>
      </c>
      <c r="F34" s="2"/>
      <c r="G34" s="8" t="s">
        <v>155</v>
      </c>
    </row>
    <row r="35" spans="1:18" x14ac:dyDescent="0.25">
      <c r="A35" t="s">
        <v>27</v>
      </c>
      <c r="B35" t="str">
        <f t="shared" ref="B35" si="42">IF($G35="","Hide","Show")</f>
        <v>Show</v>
      </c>
      <c r="E35" s="1"/>
      <c r="F35" t="s">
        <v>173</v>
      </c>
      <c r="G35" t="s">
        <v>156</v>
      </c>
      <c r="H35" t="s">
        <v>171</v>
      </c>
      <c r="I35" s="5" t="s">
        <v>93</v>
      </c>
      <c r="J35" s="5">
        <v>15</v>
      </c>
      <c r="K35" s="5">
        <v>0</v>
      </c>
      <c r="L35" t="str">
        <f t="shared" ref="L35" si="43">IFERROR(IF(K35*J35=0,"0",K35*J35),0)</f>
        <v>0</v>
      </c>
      <c r="M35" s="5">
        <v>0</v>
      </c>
      <c r="N35" t="str">
        <f t="shared" ref="N35" si="44">IF(M35*J35=0,"0",M35*J35)</f>
        <v>0</v>
      </c>
      <c r="O35" s="5">
        <v>1.2</v>
      </c>
      <c r="P35" s="5">
        <v>13.78</v>
      </c>
      <c r="Q35" s="5">
        <f t="shared" ref="Q35" si="45">P35*O35</f>
        <v>16.535999999999998</v>
      </c>
      <c r="R35" s="6">
        <f t="shared" ref="R35" si="46">IFERROR(Q35+N35+L35,"")</f>
        <v>16.535999999999998</v>
      </c>
    </row>
    <row r="36" spans="1:18" x14ac:dyDescent="0.25">
      <c r="A36" t="s">
        <v>27</v>
      </c>
      <c r="B36" t="str">
        <f t="shared" ref="B36" si="47">IF($G35="","Hide","Show")</f>
        <v>Show</v>
      </c>
      <c r="H36" t="s">
        <v>172</v>
      </c>
    </row>
    <row r="37" spans="1:18" x14ac:dyDescent="0.25">
      <c r="A37" t="s">
        <v>27</v>
      </c>
      <c r="B37" t="str">
        <f t="shared" ref="B37" si="48">IF($G35="","Hide","Show")</f>
        <v>Show</v>
      </c>
    </row>
    <row r="38" spans="1:18" ht="17.25" x14ac:dyDescent="0.3">
      <c r="A38" t="s">
        <v>27</v>
      </c>
      <c r="B38" t="str">
        <f t="shared" ref="B38" si="49">IF($G39="","Hide","Show")</f>
        <v>Show</v>
      </c>
      <c r="C38" t="str">
        <f>"""Ceres4"",""TCP-LIVE"",""14012281"",""1"",""CEREAL/BRK"""</f>
        <v>"Ceres4","TCP-LIVE","14012281","1","CEREAL/BRK"</v>
      </c>
      <c r="D38" t="s">
        <v>34</v>
      </c>
      <c r="E38" s="9" t="s">
        <v>10</v>
      </c>
      <c r="F38" s="2"/>
      <c r="G38" s="8" t="s">
        <v>157</v>
      </c>
    </row>
    <row r="39" spans="1:18" x14ac:dyDescent="0.25">
      <c r="A39" t="s">
        <v>27</v>
      </c>
      <c r="B39" t="str">
        <f t="shared" ref="B39:B53" si="50">IF($G39="","Hide","Show")</f>
        <v>Show</v>
      </c>
      <c r="E39" s="1"/>
      <c r="F39" t="s">
        <v>174</v>
      </c>
      <c r="G39" t="str">
        <f>"070418"</f>
        <v>070418</v>
      </c>
      <c r="H39" t="str">
        <f>"Cereal - Rice Krispis"</f>
        <v>Cereal - Rice Krispis</v>
      </c>
      <c r="I39" s="5" t="str">
        <f>"CS"</f>
        <v>CS</v>
      </c>
      <c r="J39" s="5">
        <v>8</v>
      </c>
      <c r="K39" s="5">
        <v>0.19</v>
      </c>
      <c r="L39">
        <f t="shared" ref="L39" si="51">IFERROR(IF(K39*J39=0,"0",K39*J39),0)</f>
        <v>1.52</v>
      </c>
      <c r="M39" s="5">
        <v>0</v>
      </c>
      <c r="N39" t="str">
        <f t="shared" ref="N39" si="52">IF(M39*J39=0,"0",M39*J39)</f>
        <v>0</v>
      </c>
      <c r="O39" s="5">
        <v>1</v>
      </c>
      <c r="P39" s="5">
        <v>0</v>
      </c>
      <c r="Q39" s="5">
        <f t="shared" ref="Q39" si="53">P39*O39</f>
        <v>0</v>
      </c>
      <c r="R39" s="6">
        <f t="shared" ref="R39" si="54">IFERROR(Q39+N39+L39,"")</f>
        <v>1.52</v>
      </c>
    </row>
    <row r="40" spans="1:18" x14ac:dyDescent="0.25">
      <c r="A40" t="s">
        <v>27</v>
      </c>
      <c r="B40" t="str">
        <f t="shared" ref="B40" si="55">IF($G39="","Hide","Show")</f>
        <v>Show</v>
      </c>
      <c r="H40" t="str">
        <f>"1-22 lb"</f>
        <v>1-22 lb</v>
      </c>
    </row>
    <row r="41" spans="1:18" x14ac:dyDescent="0.25">
      <c r="A41" t="s">
        <v>27</v>
      </c>
      <c r="B41" t="str">
        <f t="shared" si="50"/>
        <v>Show</v>
      </c>
      <c r="E41" s="1"/>
      <c r="F41" t="str">
        <f>"""Ceres4"",""TCP-LIVE"",""27"",""1"",""085030"""</f>
        <v>"Ceres4","TCP-LIVE","27","1","085030"</v>
      </c>
      <c r="G41" t="str">
        <f>"085030"</f>
        <v>085030</v>
      </c>
      <c r="H41" t="str">
        <f>"Breakfast - Breakfast Sliders"</f>
        <v>Breakfast - Breakfast Sliders</v>
      </c>
      <c r="I41" s="5" t="str">
        <f>"CS"</f>
        <v>CS</v>
      </c>
      <c r="J41" s="5">
        <v>12</v>
      </c>
      <c r="K41" s="5">
        <v>0.19</v>
      </c>
      <c r="L41">
        <f t="shared" ref="L41" si="56">IFERROR(IF(K41*J41=0,"0",K41*J41),0)</f>
        <v>2.2800000000000002</v>
      </c>
      <c r="M41" s="5">
        <v>0</v>
      </c>
      <c r="N41" t="str">
        <f t="shared" ref="N41" si="57">IF(M41*J41=0,"0",M41*J41)</f>
        <v>0</v>
      </c>
      <c r="O41" s="5">
        <v>1</v>
      </c>
      <c r="P41" s="5">
        <v>0</v>
      </c>
      <c r="Q41" s="5">
        <f t="shared" ref="Q41" si="58">P41*O41</f>
        <v>0</v>
      </c>
      <c r="R41" s="6">
        <f t="shared" ref="R41" si="59">IFERROR(Q41+N41+L41,"")</f>
        <v>2.2800000000000002</v>
      </c>
    </row>
    <row r="42" spans="1:18" x14ac:dyDescent="0.25">
      <c r="A42" t="s">
        <v>27</v>
      </c>
      <c r="B42" t="str">
        <f t="shared" ref="B42" si="60">IF($G41="","Hide","Show")</f>
        <v>Show</v>
      </c>
      <c r="H42" t="str">
        <f>"Bulk 12 lbs"</f>
        <v>Bulk 12 lbs</v>
      </c>
    </row>
    <row r="43" spans="1:18" x14ac:dyDescent="0.25">
      <c r="A43" t="s">
        <v>27</v>
      </c>
      <c r="B43" t="str">
        <f t="shared" si="50"/>
        <v>Show</v>
      </c>
      <c r="E43" s="1"/>
      <c r="F43" t="str">
        <f>"""Ceres4"",""TCP-LIVE"",""27"",""1"",""085069"""</f>
        <v>"Ceres4","TCP-LIVE","27","1","085069"</v>
      </c>
      <c r="G43" t="str">
        <f>"085069"</f>
        <v>085069</v>
      </c>
      <c r="H43" t="str">
        <f>"Breakfast - Breakfast Pizza"</f>
        <v>Breakfast - Breakfast Pizza</v>
      </c>
      <c r="I43" s="5" t="str">
        <f>"CS"</f>
        <v>CS</v>
      </c>
      <c r="J43" s="5">
        <v>23</v>
      </c>
      <c r="K43" s="5">
        <v>0.19</v>
      </c>
      <c r="L43">
        <f t="shared" ref="L43" si="61">IFERROR(IF(K43*J43=0,"0",K43*J43),0)</f>
        <v>4.37</v>
      </c>
      <c r="M43" s="5">
        <v>0</v>
      </c>
      <c r="N43" t="str">
        <f t="shared" ref="N43" si="62">IF(M43*J43=0,"0",M43*J43)</f>
        <v>0</v>
      </c>
      <c r="O43" s="5">
        <v>1</v>
      </c>
      <c r="P43" s="5">
        <v>0</v>
      </c>
      <c r="Q43" s="5">
        <f t="shared" ref="Q43" si="63">P43*O43</f>
        <v>0</v>
      </c>
      <c r="R43" s="6">
        <f t="shared" ref="R43" si="64">IFERROR(Q43+N43+L43,"")</f>
        <v>4.37</v>
      </c>
    </row>
    <row r="44" spans="1:18" x14ac:dyDescent="0.25">
      <c r="A44" t="s">
        <v>27</v>
      </c>
      <c r="B44" t="str">
        <f t="shared" ref="B44" si="65">IF($G43="","Hide","Show")</f>
        <v>Show</v>
      </c>
      <c r="H44" t="str">
        <f>"Bulk 23 lbs"</f>
        <v>Bulk 23 lbs</v>
      </c>
    </row>
    <row r="45" spans="1:18" x14ac:dyDescent="0.25">
      <c r="A45" t="s">
        <v>27</v>
      </c>
      <c r="B45" t="str">
        <f t="shared" si="50"/>
        <v>Show</v>
      </c>
      <c r="E45" s="1"/>
      <c r="F45" t="str">
        <f>"""Ceres4"",""TCP-LIVE"",""27"",""1"",""P070002"""</f>
        <v>"Ceres4","TCP-LIVE","27","1","P070002"</v>
      </c>
      <c r="G45" t="str">
        <f>"P070002"</f>
        <v>P070002</v>
      </c>
      <c r="H45" t="str">
        <f>"Breakfast - Quick Oatmeal"</f>
        <v>Breakfast - Quick Oatmeal</v>
      </c>
      <c r="I45" s="5" t="str">
        <f>"CS"</f>
        <v>CS</v>
      </c>
      <c r="J45" s="5">
        <v>11</v>
      </c>
      <c r="K45" s="5">
        <v>0</v>
      </c>
      <c r="L45" t="str">
        <f t="shared" ref="L45" si="66">IFERROR(IF(K45*J45=0,"0",K45*J45),0)</f>
        <v>0</v>
      </c>
      <c r="M45" s="5">
        <v>0</v>
      </c>
      <c r="N45" t="str">
        <f t="shared" ref="N45" si="67">IF(M45*J45=0,"0",M45*J45)</f>
        <v>0</v>
      </c>
      <c r="O45" s="5">
        <v>1.2</v>
      </c>
      <c r="P45" s="5">
        <v>11.45</v>
      </c>
      <c r="Q45" s="5">
        <f t="shared" ref="Q45" si="68">P45*O45</f>
        <v>13.739999999999998</v>
      </c>
      <c r="R45" s="6">
        <f t="shared" ref="R45" si="69">IFERROR(Q45+N45+L45,"")</f>
        <v>13.739999999999998</v>
      </c>
    </row>
    <row r="46" spans="1:18" x14ac:dyDescent="0.25">
      <c r="A46" t="s">
        <v>27</v>
      </c>
      <c r="B46" t="str">
        <f t="shared" ref="B46" si="70">IF($G45="","Hide","Show")</f>
        <v>Show</v>
      </c>
      <c r="H46" t="str">
        <f>"12-14 oz"</f>
        <v>12-14 oz</v>
      </c>
    </row>
    <row r="47" spans="1:18" x14ac:dyDescent="0.25">
      <c r="A47" t="s">
        <v>27</v>
      </c>
      <c r="B47" t="str">
        <f t="shared" si="50"/>
        <v>Show</v>
      </c>
      <c r="E47" s="1"/>
      <c r="F47" t="str">
        <f>"""Ceres4"",""TCP-LIVE"",""27"",""1"",""P070009"""</f>
        <v>"Ceres4","TCP-LIVE","27","1","P070009"</v>
      </c>
      <c r="G47" t="str">
        <f>"P070009"</f>
        <v>P070009</v>
      </c>
      <c r="H47" t="str">
        <f>"Breakfast - Whole Wheat Pancakes"</f>
        <v>Breakfast - Whole Wheat Pancakes</v>
      </c>
      <c r="I47" s="5" t="str">
        <f>"EA"</f>
        <v>EA</v>
      </c>
      <c r="J47" s="5">
        <v>1</v>
      </c>
      <c r="K47" s="5">
        <v>0</v>
      </c>
      <c r="L47" t="str">
        <f t="shared" ref="L47" si="71">IFERROR(IF(K47*J47=0,"0",K47*J47),0)</f>
        <v>0</v>
      </c>
      <c r="M47" s="5">
        <v>0</v>
      </c>
      <c r="N47" t="str">
        <f t="shared" ref="N47" si="72">IF(M47*J47=0,"0",M47*J47)</f>
        <v>0</v>
      </c>
      <c r="O47" s="5">
        <v>1.1499999999999999</v>
      </c>
      <c r="P47" s="5">
        <v>2.1276700000000002</v>
      </c>
      <c r="Q47" s="5">
        <f t="shared" ref="Q47" si="73">P47*O47</f>
        <v>2.4468204999999998</v>
      </c>
      <c r="R47" s="6">
        <f t="shared" ref="R47" si="74">IFERROR(Q47+N47+L47,"")</f>
        <v>2.4468204999999998</v>
      </c>
    </row>
    <row r="48" spans="1:18" x14ac:dyDescent="0.25">
      <c r="A48" t="s">
        <v>27</v>
      </c>
      <c r="B48" t="str">
        <f t="shared" ref="B48" si="75">IF($G47="","Hide","Show")</f>
        <v>Show</v>
      </c>
      <c r="H48" t="str">
        <f>"1pk - 12 sm cakes"</f>
        <v>1pk - 12 sm cakes</v>
      </c>
    </row>
    <row r="49" spans="1:18" x14ac:dyDescent="0.25">
      <c r="A49" t="s">
        <v>27</v>
      </c>
      <c r="B49" t="str">
        <f t="shared" si="50"/>
        <v>Show</v>
      </c>
      <c r="E49" s="1"/>
      <c r="F49" t="str">
        <f>"""Ceres4"",""TCP-LIVE"",""27"",""1"",""P070010"""</f>
        <v>"Ceres4","TCP-LIVE","27","1","P070010"</v>
      </c>
      <c r="G49" t="str">
        <f>"P070010"</f>
        <v>P070010</v>
      </c>
      <c r="H49" t="str">
        <f>"Breakfast-Pancake Mix"</f>
        <v>Breakfast-Pancake Mix</v>
      </c>
      <c r="I49" s="5" t="str">
        <f>"CS"</f>
        <v>CS</v>
      </c>
      <c r="J49" s="5">
        <v>14</v>
      </c>
      <c r="K49" s="5">
        <v>0</v>
      </c>
      <c r="L49" t="str">
        <f t="shared" ref="L49" si="76">IFERROR(IF(K49*J49=0,"0",K49*J49),0)</f>
        <v>0</v>
      </c>
      <c r="M49" s="5">
        <v>0</v>
      </c>
      <c r="N49" t="str">
        <f t="shared" ref="N49" si="77">IF(M49*J49=0,"0",M49*J49)</f>
        <v>0</v>
      </c>
      <c r="O49" s="5">
        <v>1.2</v>
      </c>
      <c r="P49" s="5">
        <v>10.73</v>
      </c>
      <c r="Q49" s="5">
        <f t="shared" ref="Q49" si="78">P49*O49</f>
        <v>12.875999999999999</v>
      </c>
      <c r="R49" s="6">
        <f t="shared" ref="R49" si="79">IFERROR(Q49+N49+L49,"")</f>
        <v>12.875999999999999</v>
      </c>
    </row>
    <row r="50" spans="1:18" x14ac:dyDescent="0.25">
      <c r="A50" t="s">
        <v>27</v>
      </c>
      <c r="B50" t="str">
        <f t="shared" ref="B50" si="80">IF($G49="","Hide","Show")</f>
        <v>Show</v>
      </c>
      <c r="H50" t="str">
        <f>"12-17 oz"</f>
        <v>12-17 oz</v>
      </c>
    </row>
    <row r="51" spans="1:18" x14ac:dyDescent="0.25">
      <c r="A51" t="s">
        <v>27</v>
      </c>
      <c r="B51" t="str">
        <f t="shared" si="50"/>
        <v>Show</v>
      </c>
      <c r="E51" s="1"/>
      <c r="F51" t="str">
        <f>"""Ceres4"",""TCP-LIVE"",""27"",""1"",""P070014"""</f>
        <v>"Ceres4","TCP-LIVE","27","1","P070014"</v>
      </c>
      <c r="G51" t="str">
        <f>"P070014"</f>
        <v>P070014</v>
      </c>
      <c r="H51" t="str">
        <f>"Breakfast - French Toast "</f>
        <v xml:space="preserve">Breakfast - French Toast </v>
      </c>
      <c r="I51" s="5" t="str">
        <f>"EA"</f>
        <v>EA</v>
      </c>
      <c r="J51" s="5">
        <v>1</v>
      </c>
      <c r="K51" s="5">
        <v>0</v>
      </c>
      <c r="L51" t="str">
        <f t="shared" ref="L51" si="81">IFERROR(IF(K51*J51=0,"0",K51*J51),0)</f>
        <v>0</v>
      </c>
      <c r="M51" s="5">
        <v>0</v>
      </c>
      <c r="N51" t="str">
        <f t="shared" ref="N51" si="82">IF(M51*J51=0,"0",M51*J51)</f>
        <v>0</v>
      </c>
      <c r="O51" s="5">
        <v>1.2</v>
      </c>
      <c r="P51" s="5">
        <v>3.1553800000000001</v>
      </c>
      <c r="Q51" s="5">
        <f t="shared" ref="Q51" si="83">P51*O51</f>
        <v>3.7864559999999998</v>
      </c>
      <c r="R51" s="6">
        <f t="shared" ref="R51" si="84">IFERROR(Q51+N51+L51,"")</f>
        <v>3.7864559999999998</v>
      </c>
    </row>
    <row r="52" spans="1:18" x14ac:dyDescent="0.25">
      <c r="A52" t="s">
        <v>27</v>
      </c>
      <c r="B52" t="str">
        <f t="shared" ref="B52" si="85">IF($G51="","Hide","Show")</f>
        <v>Show</v>
      </c>
      <c r="H52" t="str">
        <f>"1 pk of 8"</f>
        <v>1 pk of 8</v>
      </c>
    </row>
    <row r="53" spans="1:18" x14ac:dyDescent="0.25">
      <c r="A53" t="s">
        <v>27</v>
      </c>
      <c r="B53" t="str">
        <f t="shared" si="50"/>
        <v>Show</v>
      </c>
      <c r="E53" s="1"/>
      <c r="F53" t="str">
        <f>"""Ceres4"",""TCP-LIVE"",""27"",""1"",""P070016"""</f>
        <v>"Ceres4","TCP-LIVE","27","1","P070016"</v>
      </c>
      <c r="G53" t="str">
        <f>"P070016"</f>
        <v>P070016</v>
      </c>
      <c r="H53" t="str">
        <f>"Breakfast- Maple Waffles Sticks"</f>
        <v>Breakfast- Maple Waffles Sticks</v>
      </c>
      <c r="I53" s="5" t="str">
        <f>"BAG"</f>
        <v>BAG</v>
      </c>
      <c r="J53" s="5">
        <v>4</v>
      </c>
      <c r="K53" s="5">
        <v>0</v>
      </c>
      <c r="L53" t="str">
        <f t="shared" ref="L53" si="86">IFERROR(IF(K53*J53=0,"0",K53*J53),0)</f>
        <v>0</v>
      </c>
      <c r="M53" s="5">
        <v>0</v>
      </c>
      <c r="N53" t="str">
        <f t="shared" ref="N53" si="87">IF(M53*J53=0,"0",M53*J53)</f>
        <v>0</v>
      </c>
      <c r="O53" s="5">
        <v>1.1499999999999999</v>
      </c>
      <c r="P53" s="5">
        <v>13.88</v>
      </c>
      <c r="Q53" s="5">
        <f t="shared" ref="Q53" si="88">P53*O53</f>
        <v>15.962</v>
      </c>
      <c r="R53" s="6">
        <f t="shared" ref="R53" si="89">IFERROR(Q53+N53+L53,"")</f>
        <v>15.962</v>
      </c>
    </row>
    <row r="54" spans="1:18" x14ac:dyDescent="0.25">
      <c r="A54" t="s">
        <v>27</v>
      </c>
      <c r="B54" t="str">
        <f t="shared" ref="B54" si="90">IF($G53="","Hide","Show")</f>
        <v>Show</v>
      </c>
      <c r="H54" t="str">
        <f>"24-2.4 oz"</f>
        <v>24-2.4 oz</v>
      </c>
    </row>
    <row r="55" spans="1:18" x14ac:dyDescent="0.25">
      <c r="A55" t="s">
        <v>27</v>
      </c>
      <c r="B55" t="str">
        <f t="shared" ref="B55" si="91">IF($G39="","Hide","Show")</f>
        <v>Show</v>
      </c>
    </row>
    <row r="56" spans="1:18" ht="17.25" x14ac:dyDescent="0.3">
      <c r="A56" t="s">
        <v>27</v>
      </c>
      <c r="B56" t="str">
        <f t="shared" ref="B56" si="92">IF($G57="","Hide","Show")</f>
        <v>Show</v>
      </c>
      <c r="C56" t="str">
        <f>"""Ceres4"",""TCP-LIVE"",""14012281"",""1"",""CONDIMENT"""</f>
        <v>"Ceres4","TCP-LIVE","14012281","1","CONDIMENT"</v>
      </c>
      <c r="D56" t="s">
        <v>35</v>
      </c>
      <c r="E56" s="9" t="s">
        <v>10</v>
      </c>
      <c r="F56" s="2"/>
      <c r="G56" s="8" t="s">
        <v>143</v>
      </c>
    </row>
    <row r="57" spans="1:18" x14ac:dyDescent="0.25">
      <c r="A57" t="s">
        <v>27</v>
      </c>
      <c r="B57" t="str">
        <f t="shared" ref="B57:B75" si="93">IF($G57="","Hide","Show")</f>
        <v>Show</v>
      </c>
      <c r="E57" s="1"/>
      <c r="F57" t="s">
        <v>144</v>
      </c>
      <c r="G57" t="str">
        <f>"100061"</f>
        <v>100061</v>
      </c>
      <c r="H57" t="str">
        <f>"Condiment - Cheese Dip"</f>
        <v>Condiment - Cheese Dip</v>
      </c>
      <c r="I57" s="5" t="str">
        <f>"CS"</f>
        <v>CS</v>
      </c>
      <c r="J57" s="5">
        <v>12</v>
      </c>
      <c r="K57" s="5">
        <v>0.19</v>
      </c>
      <c r="L57">
        <f t="shared" ref="L57" si="94">IFERROR(IF(K57*J57=0,"0",K57*J57),0)</f>
        <v>2.2800000000000002</v>
      </c>
      <c r="M57" s="5">
        <v>0</v>
      </c>
      <c r="N57" t="str">
        <f t="shared" ref="N57" si="95">IF(M57*J57=0,"0",M57*J57)</f>
        <v>0</v>
      </c>
      <c r="O57" s="5">
        <v>1</v>
      </c>
      <c r="P57" s="5">
        <v>0</v>
      </c>
      <c r="Q57" s="5">
        <f t="shared" ref="Q57" si="96">P57*O57</f>
        <v>0</v>
      </c>
      <c r="R57" s="6">
        <f t="shared" ref="R57" si="97">IFERROR(Q57+N57+L57,"")</f>
        <v>2.2800000000000002</v>
      </c>
    </row>
    <row r="58" spans="1:18" x14ac:dyDescent="0.25">
      <c r="A58" t="s">
        <v>27</v>
      </c>
      <c r="B58" t="str">
        <f t="shared" ref="B58" si="98">IF($G57="","Hide","Show")</f>
        <v>Show</v>
      </c>
      <c r="H58" t="str">
        <f>"12-16 oz"</f>
        <v>12-16 oz</v>
      </c>
    </row>
    <row r="59" spans="1:18" x14ac:dyDescent="0.25">
      <c r="A59" t="s">
        <v>27</v>
      </c>
      <c r="B59" t="str">
        <f t="shared" si="93"/>
        <v>Show</v>
      </c>
      <c r="E59" s="1"/>
      <c r="F59" t="str">
        <f>"""Ceres4"",""TCP-LIVE"",""27"",""1"",""P100000"""</f>
        <v>"Ceres4","TCP-LIVE","27","1","P100000"</v>
      </c>
      <c r="G59" t="str">
        <f>"P100000"</f>
        <v>P100000</v>
      </c>
      <c r="H59" t="str">
        <f>"Condiment - Turkey Stuffing"</f>
        <v>Condiment - Turkey Stuffing</v>
      </c>
      <c r="I59" s="5" t="str">
        <f>"EA"</f>
        <v>EA</v>
      </c>
      <c r="J59" s="5">
        <v>1</v>
      </c>
      <c r="K59" s="5">
        <v>0</v>
      </c>
      <c r="L59" t="str">
        <f t="shared" ref="L59" si="99">IFERROR(IF(K59*J59=0,"0",K59*J59),0)</f>
        <v>0</v>
      </c>
      <c r="M59" s="5">
        <v>0</v>
      </c>
      <c r="N59" t="str">
        <f t="shared" ref="N59" si="100">IF(M59*J59=0,"0",M59*J59)</f>
        <v>0</v>
      </c>
      <c r="O59" s="5">
        <v>1.2</v>
      </c>
      <c r="P59" s="5">
        <v>1.19</v>
      </c>
      <c r="Q59" s="5">
        <f t="shared" ref="Q59" si="101">P59*O59</f>
        <v>1.4279999999999999</v>
      </c>
      <c r="R59" s="6">
        <f t="shared" ref="R59" si="102">IFERROR(Q59+N59+L59,"")</f>
        <v>1.4279999999999999</v>
      </c>
    </row>
    <row r="60" spans="1:18" x14ac:dyDescent="0.25">
      <c r="A60" t="s">
        <v>27</v>
      </c>
      <c r="B60" t="str">
        <f t="shared" ref="B60" si="103">IF($G59="","Hide","Show")</f>
        <v>Show</v>
      </c>
      <c r="H60" t="str">
        <f>"1 - 16 oz "</f>
        <v xml:space="preserve">1 - 16 oz </v>
      </c>
    </row>
    <row r="61" spans="1:18" x14ac:dyDescent="0.25">
      <c r="A61" t="s">
        <v>27</v>
      </c>
      <c r="B61" t="str">
        <f t="shared" si="93"/>
        <v>Show</v>
      </c>
      <c r="E61" s="1"/>
      <c r="F61" t="str">
        <f>"""Ceres4"",""TCP-LIVE"",""27"",""1"",""P100005"""</f>
        <v>"Ceres4","TCP-LIVE","27","1","P100005"</v>
      </c>
      <c r="G61" t="str">
        <f>"P100005"</f>
        <v>P100005</v>
      </c>
      <c r="H61" t="str">
        <f>"Condiment - Whipping Cream"</f>
        <v>Condiment - Whipping Cream</v>
      </c>
      <c r="I61" s="5" t="str">
        <f>"EA"</f>
        <v>EA</v>
      </c>
      <c r="J61" s="5">
        <v>1</v>
      </c>
      <c r="K61" s="5">
        <v>0</v>
      </c>
      <c r="L61" t="str">
        <f t="shared" ref="L61" si="104">IFERROR(IF(K61*J61=0,"0",K61*J61),0)</f>
        <v>0</v>
      </c>
      <c r="M61" s="5">
        <v>0</v>
      </c>
      <c r="N61" t="str">
        <f t="shared" ref="N61" si="105">IF(M61*J61=0,"0",M61*J61)</f>
        <v>0</v>
      </c>
      <c r="O61" s="5">
        <v>1.1499999999999999</v>
      </c>
      <c r="P61" s="5">
        <v>0.89</v>
      </c>
      <c r="Q61" s="5">
        <f t="shared" ref="Q61" si="106">P61*O61</f>
        <v>1.0234999999999999</v>
      </c>
      <c r="R61" s="6">
        <f t="shared" ref="R61" si="107">IFERROR(Q61+N61+L61,"")</f>
        <v>1.0234999999999999</v>
      </c>
    </row>
    <row r="62" spans="1:18" x14ac:dyDescent="0.25">
      <c r="A62" t="s">
        <v>27</v>
      </c>
      <c r="B62" t="str">
        <f t="shared" ref="B62" si="108">IF($G61="","Hide","Show")</f>
        <v>Show</v>
      </c>
      <c r="H62" t="str">
        <f>"1 tub"</f>
        <v>1 tub</v>
      </c>
    </row>
    <row r="63" spans="1:18" x14ac:dyDescent="0.25">
      <c r="A63" t="s">
        <v>27</v>
      </c>
      <c r="B63" t="str">
        <f t="shared" si="93"/>
        <v>Show</v>
      </c>
      <c r="E63" s="1"/>
      <c r="F63" t="str">
        <f>"""Ceres4"",""TCP-LIVE"",""27"",""1"",""P120002"""</f>
        <v>"Ceres4","TCP-LIVE","27","1","P120002"</v>
      </c>
      <c r="G63" t="str">
        <f>"P120002"</f>
        <v>P120002</v>
      </c>
      <c r="H63" t="str">
        <f>"Condiment-Spaghetti Sauce w/meat"</f>
        <v>Condiment-Spaghetti Sauce w/meat</v>
      </c>
      <c r="I63" s="5" t="str">
        <f>"CS"</f>
        <v>CS</v>
      </c>
      <c r="J63" s="5">
        <v>18</v>
      </c>
      <c r="K63" s="5">
        <v>0</v>
      </c>
      <c r="L63" t="str">
        <f t="shared" ref="L63" si="109">IFERROR(IF(K63*J63=0,"0",K63*J63),0)</f>
        <v>0</v>
      </c>
      <c r="M63" s="5">
        <v>0</v>
      </c>
      <c r="N63" t="str">
        <f t="shared" ref="N63" si="110">IF(M63*J63=0,"0",M63*J63)</f>
        <v>0</v>
      </c>
      <c r="O63" s="5">
        <v>1.2</v>
      </c>
      <c r="P63" s="5">
        <v>11.09</v>
      </c>
      <c r="Q63" s="5">
        <f t="shared" ref="Q63" si="111">P63*O63</f>
        <v>13.308</v>
      </c>
      <c r="R63" s="6">
        <f t="shared" ref="R63" si="112">IFERROR(Q63+N63+L63,"")</f>
        <v>13.308</v>
      </c>
    </row>
    <row r="64" spans="1:18" x14ac:dyDescent="0.25">
      <c r="A64" t="s">
        <v>27</v>
      </c>
      <c r="B64" t="str">
        <f t="shared" ref="B64" si="113">IF($G63="","Hide","Show")</f>
        <v>Show</v>
      </c>
      <c r="H64" t="str">
        <f>"12-24 oz"</f>
        <v>12-24 oz</v>
      </c>
    </row>
    <row r="65" spans="1:18" x14ac:dyDescent="0.25">
      <c r="A65" t="s">
        <v>27</v>
      </c>
      <c r="B65" t="str">
        <f t="shared" si="93"/>
        <v>Show</v>
      </c>
      <c r="E65" s="1"/>
      <c r="F65" t="str">
        <f>"""Ceres4"",""TCP-LIVE"",""27"",""1"",""P120003"""</f>
        <v>"Ceres4","TCP-LIVE","27","1","P120003"</v>
      </c>
      <c r="G65" t="str">
        <f>"P120003"</f>
        <v>P120003</v>
      </c>
      <c r="H65" t="str">
        <f>"Condiment - Turkey Stuffing Mix"</f>
        <v>Condiment - Turkey Stuffing Mix</v>
      </c>
      <c r="I65" s="5" t="str">
        <f>"CS"</f>
        <v>CS</v>
      </c>
      <c r="J65" s="5">
        <v>5</v>
      </c>
      <c r="K65" s="5">
        <v>0</v>
      </c>
      <c r="L65" t="str">
        <f t="shared" ref="L65" si="114">IFERROR(IF(K65*J65=0,"0",K65*J65),0)</f>
        <v>0</v>
      </c>
      <c r="M65" s="5">
        <v>0</v>
      </c>
      <c r="N65" t="str">
        <f t="shared" ref="N65" si="115">IF(M65*J65=0,"0",M65*J65)</f>
        <v>0</v>
      </c>
      <c r="O65" s="5">
        <v>1.2</v>
      </c>
      <c r="P65" s="5">
        <v>9.5299999999999994</v>
      </c>
      <c r="Q65" s="5">
        <f t="shared" ref="Q65" si="116">P65*O65</f>
        <v>11.435999999999998</v>
      </c>
      <c r="R65" s="6">
        <f t="shared" ref="R65" si="117">IFERROR(Q65+N65+L65,"")</f>
        <v>11.435999999999998</v>
      </c>
    </row>
    <row r="66" spans="1:18" x14ac:dyDescent="0.25">
      <c r="A66" t="s">
        <v>27</v>
      </c>
      <c r="B66" t="str">
        <f t="shared" ref="B66" si="118">IF($G65="","Hide","Show")</f>
        <v>Show</v>
      </c>
      <c r="H66" t="str">
        <f>"12-6 oz"</f>
        <v>12-6 oz</v>
      </c>
    </row>
    <row r="67" spans="1:18" x14ac:dyDescent="0.25">
      <c r="A67" t="s">
        <v>27</v>
      </c>
      <c r="B67" t="str">
        <f t="shared" si="93"/>
        <v>Show</v>
      </c>
      <c r="E67" s="1"/>
      <c r="F67" t="str">
        <f>"""Ceres4"",""TCP-LIVE"",""27"",""1"",""P120007"""</f>
        <v>"Ceres4","TCP-LIVE","27","1","P120007"</v>
      </c>
      <c r="G67" t="str">
        <f>"P120007"</f>
        <v>P120007</v>
      </c>
      <c r="H67" t="str">
        <f>"Condiment- Cranberry Sauce"</f>
        <v>Condiment- Cranberry Sauce</v>
      </c>
      <c r="I67" s="5" t="str">
        <f>"CS"</f>
        <v>CS</v>
      </c>
      <c r="J67" s="5">
        <v>21</v>
      </c>
      <c r="K67" s="5">
        <v>0</v>
      </c>
      <c r="L67" t="str">
        <f t="shared" ref="L67" si="119">IFERROR(IF(K67*J67=0,"0",K67*J67),0)</f>
        <v>0</v>
      </c>
      <c r="M67" s="5">
        <v>0</v>
      </c>
      <c r="N67" t="str">
        <f t="shared" ref="N67" si="120">IF(M67*J67=0,"0",M67*J67)</f>
        <v>0</v>
      </c>
      <c r="O67" s="5">
        <v>1.2</v>
      </c>
      <c r="P67" s="5">
        <v>30.96</v>
      </c>
      <c r="Q67" s="5">
        <f t="shared" ref="Q67" si="121">P67*O67</f>
        <v>37.152000000000001</v>
      </c>
      <c r="R67" s="6">
        <f t="shared" ref="R67" si="122">IFERROR(Q67+N67+L67,"")</f>
        <v>37.152000000000001</v>
      </c>
    </row>
    <row r="68" spans="1:18" x14ac:dyDescent="0.25">
      <c r="A68" t="s">
        <v>27</v>
      </c>
      <c r="B68" t="str">
        <f t="shared" ref="B68" si="123">IF($G67="","Hide","Show")</f>
        <v>Show</v>
      </c>
      <c r="H68" t="str">
        <f>"24-14 oz"</f>
        <v>24-14 oz</v>
      </c>
    </row>
    <row r="69" spans="1:18" x14ac:dyDescent="0.25">
      <c r="A69" t="s">
        <v>27</v>
      </c>
      <c r="B69" t="str">
        <f t="shared" si="93"/>
        <v>Show</v>
      </c>
      <c r="E69" s="1"/>
      <c r="F69" t="str">
        <f>"""Ceres4"",""TCP-LIVE"",""27"",""1"",""P120011"""</f>
        <v>"Ceres4","TCP-LIVE","27","1","P120011"</v>
      </c>
      <c r="G69" t="str">
        <f>"P120011"</f>
        <v>P120011</v>
      </c>
      <c r="H69" t="str">
        <f>"Condiment - Tomato Sauce"</f>
        <v>Condiment - Tomato Sauce</v>
      </c>
      <c r="I69" s="5" t="str">
        <f>"CS"</f>
        <v>CS</v>
      </c>
      <c r="J69" s="5">
        <v>26</v>
      </c>
      <c r="K69" s="5">
        <v>0</v>
      </c>
      <c r="L69" t="str">
        <f t="shared" ref="L69" si="124">IFERROR(IF(K69*J69=0,"0",K69*J69),0)</f>
        <v>0</v>
      </c>
      <c r="M69" s="5">
        <v>0</v>
      </c>
      <c r="N69" t="str">
        <f t="shared" ref="N69" si="125">IF(M69*J69=0,"0",M69*J69)</f>
        <v>0</v>
      </c>
      <c r="O69" s="5">
        <v>1.22</v>
      </c>
      <c r="P69" s="5">
        <v>12.35</v>
      </c>
      <c r="Q69" s="5">
        <f t="shared" ref="Q69" si="126">P69*O69</f>
        <v>15.066999999999998</v>
      </c>
      <c r="R69" s="6">
        <f t="shared" ref="R69" si="127">IFERROR(Q69+N69+L69,"")</f>
        <v>15.066999999999998</v>
      </c>
    </row>
    <row r="70" spans="1:18" x14ac:dyDescent="0.25">
      <c r="A70" t="s">
        <v>27</v>
      </c>
      <c r="B70" t="str">
        <f t="shared" ref="B70" si="128">IF($G69="","Hide","Show")</f>
        <v>Show</v>
      </c>
      <c r="H70" t="str">
        <f>"24-15 oz"</f>
        <v>24-15 oz</v>
      </c>
    </row>
    <row r="71" spans="1:18" x14ac:dyDescent="0.25">
      <c r="A71" t="s">
        <v>27</v>
      </c>
      <c r="B71" t="str">
        <f t="shared" si="93"/>
        <v>Show</v>
      </c>
      <c r="E71" s="1"/>
      <c r="F71" t="str">
        <f>"""Ceres4"",""TCP-LIVE"",""27"",""1"",""P120054"""</f>
        <v>"Ceres4","TCP-LIVE","27","1","P120054"</v>
      </c>
      <c r="G71" t="str">
        <f>"P120054"</f>
        <v>P120054</v>
      </c>
      <c r="H71" t="str">
        <f>"Condiment-Sauce Sloppy Joe"</f>
        <v>Condiment-Sauce Sloppy Joe</v>
      </c>
      <c r="I71" s="5" t="str">
        <f>"CS"</f>
        <v>CS</v>
      </c>
      <c r="J71" s="5">
        <v>23</v>
      </c>
      <c r="K71" s="5">
        <v>0</v>
      </c>
      <c r="L71" t="str">
        <f t="shared" ref="L71" si="129">IFERROR(IF(K71*J71=0,"0",K71*J71),0)</f>
        <v>0</v>
      </c>
      <c r="M71" s="5">
        <v>0</v>
      </c>
      <c r="N71" t="str">
        <f t="shared" ref="N71" si="130">IF(M71*J71=0,"0",M71*J71)</f>
        <v>0</v>
      </c>
      <c r="O71" s="5">
        <v>1.2</v>
      </c>
      <c r="P71" s="5">
        <v>16.43</v>
      </c>
      <c r="Q71" s="5">
        <f t="shared" ref="Q71" si="131">P71*O71</f>
        <v>19.715999999999998</v>
      </c>
      <c r="R71" s="6">
        <f t="shared" ref="R71" si="132">IFERROR(Q71+N71+L71,"")</f>
        <v>19.715999999999998</v>
      </c>
    </row>
    <row r="72" spans="1:18" x14ac:dyDescent="0.25">
      <c r="A72" t="s">
        <v>27</v>
      </c>
      <c r="B72" t="str">
        <f t="shared" ref="B72" si="133">IF($G71="","Hide","Show")</f>
        <v>Show</v>
      </c>
      <c r="H72" t="str">
        <f>"24-15.5 oz"</f>
        <v>24-15.5 oz</v>
      </c>
    </row>
    <row r="73" spans="1:18" x14ac:dyDescent="0.25">
      <c r="A73" t="s">
        <v>27</v>
      </c>
      <c r="B73" t="str">
        <f t="shared" si="93"/>
        <v>Show</v>
      </c>
      <c r="E73" s="1"/>
      <c r="F73" t="str">
        <f>"""Ceres4"",""TCP-LIVE"",""27"",""1"",""P130015"""</f>
        <v>"Ceres4","TCP-LIVE","27","1","P130015"</v>
      </c>
      <c r="G73" t="str">
        <f>"P130015"</f>
        <v>P130015</v>
      </c>
      <c r="H73" t="str">
        <f>"Condiment - Raspberry Preserve"</f>
        <v>Condiment - Raspberry Preserve</v>
      </c>
      <c r="I73" s="5" t="str">
        <f>"CS"</f>
        <v>CS</v>
      </c>
      <c r="J73" s="5">
        <v>15</v>
      </c>
      <c r="K73" s="5">
        <v>0</v>
      </c>
      <c r="L73" t="str">
        <f t="shared" ref="L73" si="134">IFERROR(IF(K73*J73=0,"0",K73*J73),0)</f>
        <v>0</v>
      </c>
      <c r="M73" s="5">
        <v>0</v>
      </c>
      <c r="N73" t="str">
        <f t="shared" ref="N73" si="135">IF(M73*J73=0,"0",M73*J73)</f>
        <v>0</v>
      </c>
      <c r="O73" s="5">
        <v>1.2</v>
      </c>
      <c r="P73" s="5">
        <v>9.5299999999999994</v>
      </c>
      <c r="Q73" s="5">
        <f t="shared" ref="Q73" si="136">P73*O73</f>
        <v>11.435999999999998</v>
      </c>
      <c r="R73" s="6">
        <f t="shared" ref="R73" si="137">IFERROR(Q73+N73+L73,"")</f>
        <v>11.435999999999998</v>
      </c>
    </row>
    <row r="74" spans="1:18" x14ac:dyDescent="0.25">
      <c r="A74" t="s">
        <v>27</v>
      </c>
      <c r="B74" t="str">
        <f t="shared" ref="B74" si="138">IF($G73="","Hide","Show")</f>
        <v>Show</v>
      </c>
      <c r="H74" t="str">
        <f>"12-13 oz"</f>
        <v>12-13 oz</v>
      </c>
    </row>
    <row r="75" spans="1:18" x14ac:dyDescent="0.25">
      <c r="A75" t="s">
        <v>27</v>
      </c>
      <c r="B75" t="str">
        <f t="shared" si="93"/>
        <v>Show</v>
      </c>
      <c r="E75" s="1"/>
      <c r="F75" t="str">
        <f>"""Ceres4"",""TCP-LIVE"",""27"",""1"",""P130020"""</f>
        <v>"Ceres4","TCP-LIVE","27","1","P130020"</v>
      </c>
      <c r="G75" t="str">
        <f>"P130020"</f>
        <v>P130020</v>
      </c>
      <c r="H75" t="str">
        <f>"Condiment - Nacho Cheese"</f>
        <v>Condiment - Nacho Cheese</v>
      </c>
      <c r="I75" s="5" t="str">
        <f>"CS"</f>
        <v>CS</v>
      </c>
      <c r="J75" s="5">
        <v>30</v>
      </c>
      <c r="K75" s="5">
        <v>0</v>
      </c>
      <c r="L75" t="str">
        <f t="shared" ref="L75" si="139">IFERROR(IF(K75*J75=0,"0",K75*J75),0)</f>
        <v>0</v>
      </c>
      <c r="M75" s="5">
        <v>0</v>
      </c>
      <c r="N75" t="str">
        <f t="shared" ref="N75" si="140">IF(M75*J75=0,"0",M75*J75)</f>
        <v>0</v>
      </c>
      <c r="O75" s="5">
        <v>1.2</v>
      </c>
      <c r="P75" s="5">
        <v>49.92</v>
      </c>
      <c r="Q75" s="5">
        <f t="shared" ref="Q75" si="141">P75*O75</f>
        <v>59.903999999999996</v>
      </c>
      <c r="R75" s="6">
        <f t="shared" ref="R75" si="142">IFERROR(Q75+N75+L75,"")</f>
        <v>59.903999999999996</v>
      </c>
    </row>
    <row r="76" spans="1:18" x14ac:dyDescent="0.25">
      <c r="A76" t="s">
        <v>27</v>
      </c>
      <c r="B76" t="str">
        <f t="shared" ref="B76" si="143">IF($G75="","Hide","Show")</f>
        <v>Show</v>
      </c>
      <c r="H76" t="str">
        <f>"4 - 107 oz bag"</f>
        <v>4 - 107 oz bag</v>
      </c>
    </row>
    <row r="77" spans="1:18" x14ac:dyDescent="0.25">
      <c r="A77" t="s">
        <v>27</v>
      </c>
      <c r="B77" t="str">
        <f t="shared" ref="B77" si="144">IF($G57="","Hide","Show")</f>
        <v>Show</v>
      </c>
    </row>
    <row r="78" spans="1:18" ht="17.25" x14ac:dyDescent="0.3">
      <c r="A78" t="s">
        <v>27</v>
      </c>
      <c r="B78" t="str">
        <f t="shared" ref="B78" si="145">IF($G79="","Hide","Show")</f>
        <v>Show</v>
      </c>
      <c r="C78" t="str">
        <f>"""Ceres4"",""TCP-LIVE"",""14012281"",""1"",""DAIRY"""</f>
        <v>"Ceres4","TCP-LIVE","14012281","1","DAIRY"</v>
      </c>
      <c r="D78" t="s">
        <v>36</v>
      </c>
      <c r="E78" s="9" t="s">
        <v>10</v>
      </c>
      <c r="F78" s="2"/>
      <c r="G78" s="8" t="s">
        <v>116</v>
      </c>
    </row>
    <row r="79" spans="1:18" x14ac:dyDescent="0.25">
      <c r="A79" t="s">
        <v>27</v>
      </c>
      <c r="B79" t="str">
        <f t="shared" ref="B79:B83" si="146">IF($G79="","Hide","Show")</f>
        <v>Show</v>
      </c>
      <c r="E79" s="1"/>
      <c r="F79" t="s">
        <v>142</v>
      </c>
      <c r="G79" t="s">
        <v>117</v>
      </c>
      <c r="H79" t="s">
        <v>128</v>
      </c>
      <c r="I79" s="5" t="s">
        <v>94</v>
      </c>
      <c r="J79" s="5">
        <v>5</v>
      </c>
      <c r="K79" s="5">
        <v>0</v>
      </c>
      <c r="L79" t="str">
        <f t="shared" ref="L79" si="147">IFERROR(IF(K79*J79=0,"0",K79*J79),0)</f>
        <v>0</v>
      </c>
      <c r="M79" s="5">
        <v>0</v>
      </c>
      <c r="N79" t="str">
        <f t="shared" ref="N79" si="148">IF(M79*J79=0,"0",M79*J79)</f>
        <v>0</v>
      </c>
      <c r="O79" s="5">
        <v>1</v>
      </c>
      <c r="P79" s="5">
        <v>11.9825</v>
      </c>
      <c r="Q79" s="5">
        <f t="shared" ref="Q79" si="149">P79*O79</f>
        <v>11.9825</v>
      </c>
      <c r="R79" s="6">
        <f t="shared" ref="R79" si="150">IFERROR(Q79+N79+L79,"")</f>
        <v>11.9825</v>
      </c>
    </row>
    <row r="80" spans="1:18" x14ac:dyDescent="0.25">
      <c r="A80" t="s">
        <v>27</v>
      </c>
      <c r="B80" t="str">
        <f t="shared" ref="B80" si="151">IF($G79="","Hide","Show")</f>
        <v>Show</v>
      </c>
      <c r="H80" t="s">
        <v>129</v>
      </c>
    </row>
    <row r="81" spans="1:18" x14ac:dyDescent="0.25">
      <c r="A81" t="s">
        <v>27</v>
      </c>
      <c r="B81" t="str">
        <f t="shared" si="146"/>
        <v>Show</v>
      </c>
      <c r="E81" s="1"/>
      <c r="F81" t="str">
        <f>"""Ceres4"",""TCP-LIVE"",""27"",""1"",""P169998"""</f>
        <v>"Ceres4","TCP-LIVE","27","1","P169998"</v>
      </c>
      <c r="G81" t="s">
        <v>118</v>
      </c>
      <c r="H81" t="s">
        <v>130</v>
      </c>
      <c r="I81" s="5" t="s">
        <v>127</v>
      </c>
      <c r="J81" s="5">
        <v>5</v>
      </c>
      <c r="K81" s="5">
        <v>0</v>
      </c>
      <c r="L81" t="str">
        <f t="shared" ref="L81" si="152">IFERROR(IF(K81*J81=0,"0",K81*J81),0)</f>
        <v>0</v>
      </c>
      <c r="M81" s="5">
        <v>0</v>
      </c>
      <c r="N81" t="str">
        <f t="shared" ref="N81" si="153">IF(M81*J81=0,"0",M81*J81)</f>
        <v>0</v>
      </c>
      <c r="O81" s="5">
        <v>1.1000000000000001</v>
      </c>
      <c r="P81" s="5">
        <v>11.685</v>
      </c>
      <c r="Q81" s="5">
        <f t="shared" ref="Q81" si="154">P81*O81</f>
        <v>12.853500000000002</v>
      </c>
      <c r="R81" s="6">
        <f t="shared" ref="R81" si="155">IFERROR(Q81+N81+L81,"")</f>
        <v>12.853500000000002</v>
      </c>
    </row>
    <row r="82" spans="1:18" x14ac:dyDescent="0.25">
      <c r="A82" t="s">
        <v>27</v>
      </c>
      <c r="B82" t="str">
        <f t="shared" ref="B82" si="156">IF($G81="","Hide","Show")</f>
        <v>Show</v>
      </c>
      <c r="H82" t="s">
        <v>131</v>
      </c>
    </row>
    <row r="83" spans="1:18" x14ac:dyDescent="0.25">
      <c r="A83" t="s">
        <v>27</v>
      </c>
      <c r="B83" t="str">
        <f t="shared" si="146"/>
        <v>Show</v>
      </c>
      <c r="E83" s="1"/>
      <c r="F83" t="str">
        <f>"""Ceres4"",""TCP-LIVE"",""27"",""1"",""P169999"""</f>
        <v>"Ceres4","TCP-LIVE","27","1","P169999"</v>
      </c>
      <c r="G83" t="s">
        <v>119</v>
      </c>
      <c r="H83" t="s">
        <v>132</v>
      </c>
      <c r="I83" s="5" t="s">
        <v>94</v>
      </c>
      <c r="J83" s="5">
        <v>5</v>
      </c>
      <c r="K83" s="5">
        <v>0</v>
      </c>
      <c r="L83" t="str">
        <f t="shared" ref="L83" si="157">IFERROR(IF(K83*J83=0,"0",K83*J83),0)</f>
        <v>0</v>
      </c>
      <c r="M83" s="5">
        <v>0</v>
      </c>
      <c r="N83" t="str">
        <f t="shared" ref="N83" si="158">IF(M83*J83=0,"0",M83*J83)</f>
        <v>0</v>
      </c>
      <c r="O83" s="5">
        <v>1</v>
      </c>
      <c r="P83" s="5">
        <v>11.9</v>
      </c>
      <c r="Q83" s="5">
        <f t="shared" ref="Q83" si="159">P83*O83</f>
        <v>11.9</v>
      </c>
      <c r="R83" s="6">
        <f t="shared" ref="R83" si="160">IFERROR(Q83+N83+L83,"")</f>
        <v>11.9</v>
      </c>
    </row>
    <row r="84" spans="1:18" x14ac:dyDescent="0.25">
      <c r="A84" t="s">
        <v>27</v>
      </c>
      <c r="B84" t="str">
        <f t="shared" ref="B84" si="161">IF($G83="","Hide","Show")</f>
        <v>Show</v>
      </c>
      <c r="H84" t="s">
        <v>133</v>
      </c>
    </row>
    <row r="85" spans="1:18" x14ac:dyDescent="0.25">
      <c r="A85" t="s">
        <v>27</v>
      </c>
      <c r="B85" t="str">
        <f t="shared" ref="B85" si="162">IF($G79="","Hide","Show")</f>
        <v>Show</v>
      </c>
    </row>
    <row r="86" spans="1:18" ht="17.25" x14ac:dyDescent="0.3">
      <c r="A86" t="s">
        <v>27</v>
      </c>
      <c r="B86" t="str">
        <f t="shared" ref="B86" si="163">IF($G87="","Hide","Show")</f>
        <v>Show</v>
      </c>
      <c r="C86" t="str">
        <f>"""Ceres4"",""TCP-LIVE"",""14012281"",""1"",""DESSERT"""</f>
        <v>"Ceres4","TCP-LIVE","14012281","1","DESSERT"</v>
      </c>
      <c r="D86" t="s">
        <v>37</v>
      </c>
      <c r="E86" s="9" t="s">
        <v>10</v>
      </c>
      <c r="F86" s="2"/>
      <c r="G86" s="8" t="s">
        <v>120</v>
      </c>
    </row>
    <row r="87" spans="1:18" x14ac:dyDescent="0.25">
      <c r="A87" t="s">
        <v>27</v>
      </c>
      <c r="B87" t="str">
        <f t="shared" ref="B87:B93" si="164">IF($G87="","Hide","Show")</f>
        <v>Show</v>
      </c>
      <c r="E87" s="1"/>
      <c r="F87" t="s">
        <v>141</v>
      </c>
      <c r="G87" t="s">
        <v>121</v>
      </c>
      <c r="H87" t="s">
        <v>134</v>
      </c>
      <c r="I87" s="5" t="s">
        <v>93</v>
      </c>
      <c r="J87" s="5">
        <v>16</v>
      </c>
      <c r="K87" s="5">
        <v>0</v>
      </c>
      <c r="L87" t="str">
        <f t="shared" ref="L87" si="165">IFERROR(IF(K87*J87=0,"0",K87*J87),0)</f>
        <v>0</v>
      </c>
      <c r="M87" s="5">
        <v>0</v>
      </c>
      <c r="N87" t="str">
        <f t="shared" ref="N87" si="166">IF(M87*J87=0,"0",M87*J87)</f>
        <v>0</v>
      </c>
      <c r="O87" s="5">
        <v>1.2</v>
      </c>
      <c r="P87" s="5">
        <v>13.25</v>
      </c>
      <c r="Q87" s="5">
        <f t="shared" ref="Q87" si="167">P87*O87</f>
        <v>15.899999999999999</v>
      </c>
      <c r="R87" s="6">
        <f t="shared" ref="R87" si="168">IFERROR(Q87+N87+L87,"")</f>
        <v>15.899999999999999</v>
      </c>
    </row>
    <row r="88" spans="1:18" x14ac:dyDescent="0.25">
      <c r="A88" t="s">
        <v>27</v>
      </c>
      <c r="B88" t="str">
        <f t="shared" ref="B88" si="169">IF($G87="","Hide","Show")</f>
        <v>Show</v>
      </c>
      <c r="H88" t="s">
        <v>135</v>
      </c>
    </row>
    <row r="89" spans="1:18" x14ac:dyDescent="0.25">
      <c r="A89" t="s">
        <v>27</v>
      </c>
      <c r="B89" t="str">
        <f t="shared" si="164"/>
        <v>Show</v>
      </c>
      <c r="E89" s="1"/>
      <c r="F89" t="str">
        <f>"""Ceres4"",""TCP-LIVE"",""27"",""1"",""P580004"""</f>
        <v>"Ceres4","TCP-LIVE","27","1","P580004"</v>
      </c>
      <c r="G89" t="s">
        <v>122</v>
      </c>
      <c r="H89" t="s">
        <v>136</v>
      </c>
      <c r="I89" s="5" t="s">
        <v>93</v>
      </c>
      <c r="J89" s="5">
        <v>16</v>
      </c>
      <c r="K89" s="5">
        <v>0</v>
      </c>
      <c r="L89" t="str">
        <f t="shared" ref="L89" si="170">IFERROR(IF(K89*J89=0,"0",K89*J89),0)</f>
        <v>0</v>
      </c>
      <c r="M89" s="5">
        <v>0</v>
      </c>
      <c r="N89" t="str">
        <f t="shared" ref="N89" si="171">IF(M89*J89=0,"0",M89*J89)</f>
        <v>0</v>
      </c>
      <c r="O89" s="5">
        <v>1.2</v>
      </c>
      <c r="P89" s="5">
        <v>12.41</v>
      </c>
      <c r="Q89" s="5">
        <f t="shared" ref="Q89" si="172">P89*O89</f>
        <v>14.891999999999999</v>
      </c>
      <c r="R89" s="6">
        <f t="shared" ref="R89" si="173">IFERROR(Q89+N89+L89,"")</f>
        <v>14.891999999999999</v>
      </c>
    </row>
    <row r="90" spans="1:18" x14ac:dyDescent="0.25">
      <c r="A90" t="s">
        <v>27</v>
      </c>
      <c r="B90" t="str">
        <f t="shared" ref="B90" si="174">IF($G89="","Hide","Show")</f>
        <v>Show</v>
      </c>
      <c r="H90" t="s">
        <v>135</v>
      </c>
    </row>
    <row r="91" spans="1:18" x14ac:dyDescent="0.25">
      <c r="A91" t="s">
        <v>27</v>
      </c>
      <c r="B91" t="str">
        <f t="shared" si="164"/>
        <v>Show</v>
      </c>
      <c r="E91" s="1"/>
      <c r="F91" t="str">
        <f>"""Ceres4"",""TCP-LIVE"",""27"",""1"",""P580005"""</f>
        <v>"Ceres4","TCP-LIVE","27","1","P580005"</v>
      </c>
      <c r="G91" t="s">
        <v>123</v>
      </c>
      <c r="H91" t="s">
        <v>137</v>
      </c>
      <c r="I91" s="5" t="s">
        <v>93</v>
      </c>
      <c r="J91" s="5">
        <v>16</v>
      </c>
      <c r="K91" s="5">
        <v>0</v>
      </c>
      <c r="L91" t="str">
        <f t="shared" ref="L91" si="175">IFERROR(IF(K91*J91=0,"0",K91*J91),0)</f>
        <v>0</v>
      </c>
      <c r="M91" s="5">
        <v>0</v>
      </c>
      <c r="N91" t="str">
        <f t="shared" ref="N91" si="176">IF(M91*J91=0,"0",M91*J91)</f>
        <v>0</v>
      </c>
      <c r="O91" s="5">
        <v>1.2</v>
      </c>
      <c r="P91" s="5">
        <v>12.41</v>
      </c>
      <c r="Q91" s="5">
        <f t="shared" ref="Q91" si="177">P91*O91</f>
        <v>14.891999999999999</v>
      </c>
      <c r="R91" s="6">
        <f t="shared" ref="R91" si="178">IFERROR(Q91+N91+L91,"")</f>
        <v>14.891999999999999</v>
      </c>
    </row>
    <row r="92" spans="1:18" x14ac:dyDescent="0.25">
      <c r="A92" t="s">
        <v>27</v>
      </c>
      <c r="B92" t="str">
        <f t="shared" ref="B92" si="179">IF($G91="","Hide","Show")</f>
        <v>Show</v>
      </c>
      <c r="H92" t="s">
        <v>135</v>
      </c>
    </row>
    <row r="93" spans="1:18" x14ac:dyDescent="0.25">
      <c r="A93" t="s">
        <v>27</v>
      </c>
      <c r="B93" t="str">
        <f t="shared" si="164"/>
        <v>Show</v>
      </c>
      <c r="E93" s="1"/>
      <c r="F93" t="str">
        <f>"""Ceres4"",""TCP-LIVE"",""27"",""1"",""P580006"""</f>
        <v>"Ceres4","TCP-LIVE","27","1","P580006"</v>
      </c>
      <c r="G93" t="s">
        <v>124</v>
      </c>
      <c r="H93" t="s">
        <v>138</v>
      </c>
      <c r="I93" s="5" t="s">
        <v>93</v>
      </c>
      <c r="J93" s="5">
        <v>12</v>
      </c>
      <c r="K93" s="5">
        <v>0</v>
      </c>
      <c r="L93" t="str">
        <f t="shared" ref="L93" si="180">IFERROR(IF(K93*J93=0,"0",K93*J93),0)</f>
        <v>0</v>
      </c>
      <c r="M93" s="5">
        <v>0</v>
      </c>
      <c r="N93" t="str">
        <f t="shared" ref="N93" si="181">IF(M93*J93=0,"0",M93*J93)</f>
        <v>0</v>
      </c>
      <c r="O93" s="5">
        <v>1.2</v>
      </c>
      <c r="P93" s="5">
        <v>10.73</v>
      </c>
      <c r="Q93" s="5">
        <f t="shared" ref="Q93" si="182">P93*O93</f>
        <v>12.875999999999999</v>
      </c>
      <c r="R93" s="6">
        <f t="shared" ref="R93" si="183">IFERROR(Q93+N93+L93,"")</f>
        <v>12.875999999999999</v>
      </c>
    </row>
    <row r="94" spans="1:18" x14ac:dyDescent="0.25">
      <c r="A94" t="s">
        <v>27</v>
      </c>
      <c r="B94" t="str">
        <f t="shared" ref="B94" si="184">IF($G93="","Hide","Show")</f>
        <v>Show</v>
      </c>
      <c r="H94" t="s">
        <v>139</v>
      </c>
    </row>
    <row r="95" spans="1:18" ht="17.25" hidden="1" x14ac:dyDescent="0.3">
      <c r="A95" t="s">
        <v>27</v>
      </c>
      <c r="B95" t="str">
        <f t="shared" ref="B95" si="185">IF($G96="","Hide","Show")</f>
        <v>Hide</v>
      </c>
      <c r="C95" t="str">
        <f>"""Ceres4"",""TCP-LIVE"",""14012281"",""1"",""DRESSING"""</f>
        <v>"Ceres4","TCP-LIVE","14012281","1","DRESSING"</v>
      </c>
      <c r="D95" t="s">
        <v>38</v>
      </c>
      <c r="E95" s="9" t="s">
        <v>10</v>
      </c>
      <c r="F95" s="2"/>
      <c r="G95" s="8" t="s">
        <v>125</v>
      </c>
    </row>
    <row r="96" spans="1:18" hidden="1" x14ac:dyDescent="0.25">
      <c r="A96" t="s">
        <v>27</v>
      </c>
      <c r="B96" t="str">
        <f t="shared" ref="B96" si="186">IF($G96="","Hide","Show")</f>
        <v>Hide</v>
      </c>
      <c r="E96" s="1"/>
      <c r="F96" t="s">
        <v>28</v>
      </c>
      <c r="G96" t="s">
        <v>28</v>
      </c>
      <c r="H96" t="s">
        <v>28</v>
      </c>
      <c r="I96" s="5" t="s">
        <v>28</v>
      </c>
      <c r="J96" s="5" t="s">
        <v>28</v>
      </c>
      <c r="K96" s="5" t="s">
        <v>66</v>
      </c>
      <c r="L96">
        <f t="shared" ref="L96" si="187">IFERROR(IF(K96*J96=0,"0",K96*J96),0)</f>
        <v>0</v>
      </c>
      <c r="M96" s="5" t="s">
        <v>28</v>
      </c>
      <c r="N96" t="e">
        <f t="shared" ref="N96" si="188">IF(M96*J96=0,"0",M96*J96)</f>
        <v>#VALUE!</v>
      </c>
      <c r="O96" s="5" t="s">
        <v>28</v>
      </c>
      <c r="P96" s="5" t="s">
        <v>28</v>
      </c>
      <c r="Q96" s="5" t="e">
        <f t="shared" ref="Q96" si="189">P96*O96</f>
        <v>#VALUE!</v>
      </c>
      <c r="R96" s="6" t="str">
        <f t="shared" ref="R96" si="190">IFERROR(Q96+N96+L96,"")</f>
        <v/>
      </c>
    </row>
    <row r="97" spans="1:18" hidden="1" x14ac:dyDescent="0.25">
      <c r="A97" t="s">
        <v>27</v>
      </c>
      <c r="B97" t="str">
        <f t="shared" ref="B97" si="191">IF($G96="","Hide","Show")</f>
        <v>Hide</v>
      </c>
      <c r="H97" t="s">
        <v>28</v>
      </c>
    </row>
    <row r="98" spans="1:18" hidden="1" x14ac:dyDescent="0.25">
      <c r="A98" t="s">
        <v>27</v>
      </c>
      <c r="B98" t="str">
        <f t="shared" ref="B98" si="192">IF($G96="","Hide","Show")</f>
        <v>Hide</v>
      </c>
    </row>
    <row r="99" spans="1:18" ht="17.25" x14ac:dyDescent="0.3">
      <c r="A99" t="s">
        <v>27</v>
      </c>
      <c r="B99" t="str">
        <f t="shared" ref="B99" si="193">IF($G100="","Hide","Show")</f>
        <v>Show</v>
      </c>
      <c r="C99" t="str">
        <f>"""Ceres4"",""TCP-LIVE"",""14012281"",""1"",""ENTREE"""</f>
        <v>"Ceres4","TCP-LIVE","14012281","1","ENTREE"</v>
      </c>
      <c r="D99" t="s">
        <v>39</v>
      </c>
      <c r="E99" s="9" t="s">
        <v>10</v>
      </c>
      <c r="F99" s="2"/>
      <c r="G99" s="8" t="s">
        <v>126</v>
      </c>
    </row>
    <row r="100" spans="1:18" x14ac:dyDescent="0.25">
      <c r="A100" t="s">
        <v>27</v>
      </c>
      <c r="B100" t="str">
        <f t="shared" ref="B100:B116" si="194">IF($G100="","Hide","Show")</f>
        <v>Show</v>
      </c>
      <c r="E100" s="1"/>
      <c r="F100" t="s">
        <v>140</v>
      </c>
      <c r="G100" t="str">
        <f>"085106"</f>
        <v>085106</v>
      </c>
      <c r="H100" t="str">
        <f>"Breakfast - Chorizo Breakfast Bowl"</f>
        <v>Breakfast - Chorizo Breakfast Bowl</v>
      </c>
      <c r="I100" s="5" t="str">
        <f>"CS"</f>
        <v>CS</v>
      </c>
      <c r="J100" s="5">
        <v>4</v>
      </c>
      <c r="K100" s="5">
        <v>0.19</v>
      </c>
      <c r="L100">
        <f t="shared" ref="L100" si="195">IFERROR(IF(K100*J100=0,"0",K100*J100),0)</f>
        <v>0.76</v>
      </c>
      <c r="M100" s="5">
        <v>0</v>
      </c>
      <c r="N100" t="str">
        <f t="shared" ref="N100" si="196">IF(M100*J100=0,"0",M100*J100)</f>
        <v>0</v>
      </c>
      <c r="O100" s="5">
        <v>1</v>
      </c>
      <c r="P100" s="5">
        <v>0</v>
      </c>
      <c r="Q100" s="5">
        <f t="shared" ref="Q100" si="197">P100*O100</f>
        <v>0</v>
      </c>
      <c r="R100" s="6">
        <f t="shared" ref="R100" si="198">IFERROR(Q100+N100+L100,"")</f>
        <v>0.76</v>
      </c>
    </row>
    <row r="101" spans="1:18" x14ac:dyDescent="0.25">
      <c r="A101" t="s">
        <v>27</v>
      </c>
      <c r="B101" t="str">
        <f t="shared" ref="B101" si="199">IF($G100="","Hide","Show")</f>
        <v>Show</v>
      </c>
      <c r="H101" t="str">
        <f>"8-8 oz"</f>
        <v>8-8 oz</v>
      </c>
    </row>
    <row r="102" spans="1:18" x14ac:dyDescent="0.25">
      <c r="A102" t="s">
        <v>27</v>
      </c>
      <c r="B102" t="str">
        <f t="shared" si="194"/>
        <v>Show</v>
      </c>
      <c r="E102" s="1"/>
      <c r="F102" t="str">
        <f>"""Ceres4"",""TCP-LIVE"",""27"",""1"",""250004"""</f>
        <v>"Ceres4","TCP-LIVE","27","1","250004"</v>
      </c>
      <c r="G102" t="str">
        <f>"250004"</f>
        <v>250004</v>
      </c>
      <c r="H102" t="str">
        <f>"Entree - Pizza"</f>
        <v>Entree - Pizza</v>
      </c>
      <c r="I102" s="5" t="str">
        <f>"CS"</f>
        <v>CS</v>
      </c>
      <c r="J102" s="5">
        <v>25</v>
      </c>
      <c r="K102" s="5">
        <v>0.19</v>
      </c>
      <c r="L102">
        <f t="shared" ref="L102" si="200">IFERROR(IF(K102*J102=0,"0",K102*J102),0)</f>
        <v>4.75</v>
      </c>
      <c r="M102" s="5">
        <v>0</v>
      </c>
      <c r="N102" t="str">
        <f t="shared" ref="N102" si="201">IF(M102*J102=0,"0",M102*J102)</f>
        <v>0</v>
      </c>
      <c r="O102" s="5">
        <v>1</v>
      </c>
      <c r="P102" s="5">
        <v>0</v>
      </c>
      <c r="Q102" s="5">
        <f t="shared" ref="Q102" si="202">P102*O102</f>
        <v>0</v>
      </c>
      <c r="R102" s="6">
        <f t="shared" ref="R102" si="203">IFERROR(Q102+N102+L102,"")</f>
        <v>4.75</v>
      </c>
    </row>
    <row r="103" spans="1:18" x14ac:dyDescent="0.25">
      <c r="A103" t="s">
        <v>27</v>
      </c>
      <c r="B103" t="str">
        <f t="shared" ref="B103" si="204">IF($G102="","Hide","Show")</f>
        <v>Show</v>
      </c>
      <c r="H103" t="str">
        <f>"Bulk 25 lbs"</f>
        <v>Bulk 25 lbs</v>
      </c>
    </row>
    <row r="104" spans="1:18" x14ac:dyDescent="0.25">
      <c r="A104" t="s">
        <v>27</v>
      </c>
      <c r="B104" t="str">
        <f t="shared" si="194"/>
        <v>Show</v>
      </c>
      <c r="E104" s="1"/>
      <c r="F104" t="str">
        <f>"""Ceres4"",""TCP-LIVE"",""27"",""1"",""250043"""</f>
        <v>"Ceres4","TCP-LIVE","27","1","250043"</v>
      </c>
      <c r="G104" t="str">
        <f>"250043"</f>
        <v>250043</v>
      </c>
      <c r="H104" t="str">
        <f>"Entree- Macaroni and Cheese"</f>
        <v>Entree- Macaroni and Cheese</v>
      </c>
      <c r="I104" s="5" t="str">
        <f>"CS"</f>
        <v>CS</v>
      </c>
      <c r="J104" s="5">
        <v>22</v>
      </c>
      <c r="K104" s="5">
        <v>0.19</v>
      </c>
      <c r="L104">
        <f t="shared" ref="L104" si="205">IFERROR(IF(K104*J104=0,"0",K104*J104),0)</f>
        <v>4.18</v>
      </c>
      <c r="M104" s="5">
        <v>0</v>
      </c>
      <c r="N104" t="str">
        <f t="shared" ref="N104" si="206">IF(M104*J104=0,"0",M104*J104)</f>
        <v>0</v>
      </c>
      <c r="O104" s="5">
        <v>1</v>
      </c>
      <c r="P104" s="5">
        <v>0</v>
      </c>
      <c r="Q104" s="5">
        <f t="shared" ref="Q104" si="207">P104*O104</f>
        <v>0</v>
      </c>
      <c r="R104" s="6">
        <f t="shared" ref="R104" si="208">IFERROR(Q104+N104+L104,"")</f>
        <v>4.18</v>
      </c>
    </row>
    <row r="105" spans="1:18" x14ac:dyDescent="0.25">
      <c r="A105" t="s">
        <v>27</v>
      </c>
      <c r="B105" t="str">
        <f t="shared" ref="B105" si="209">IF($G104="","Hide","Show")</f>
        <v>Show</v>
      </c>
      <c r="H105" t="str">
        <f>"4-5 lb"</f>
        <v>4-5 lb</v>
      </c>
    </row>
    <row r="106" spans="1:18" x14ac:dyDescent="0.25">
      <c r="A106" t="s">
        <v>27</v>
      </c>
      <c r="B106" t="str">
        <f t="shared" si="194"/>
        <v>Show</v>
      </c>
      <c r="E106" s="1"/>
      <c r="F106" t="str">
        <f>"""Ceres4"",""TCP-LIVE"",""27"",""1"",""250141"""</f>
        <v>"Ceres4","TCP-LIVE","27","1","250141"</v>
      </c>
      <c r="G106" t="str">
        <f>"250141"</f>
        <v>250141</v>
      </c>
      <c r="H106" t="str">
        <f>"Entree - Hot Pockets Pizza"</f>
        <v>Entree - Hot Pockets Pizza</v>
      </c>
      <c r="I106" s="5" t="str">
        <f>"CS"</f>
        <v>CS</v>
      </c>
      <c r="J106" s="5">
        <v>20</v>
      </c>
      <c r="K106" s="5">
        <v>0.19</v>
      </c>
      <c r="L106">
        <f t="shared" ref="L106" si="210">IFERROR(IF(K106*J106=0,"0",K106*J106),0)</f>
        <v>3.8</v>
      </c>
      <c r="M106" s="5">
        <v>0</v>
      </c>
      <c r="N106" t="str">
        <f t="shared" ref="N106" si="211">IF(M106*J106=0,"0",M106*J106)</f>
        <v>0</v>
      </c>
      <c r="O106" s="5">
        <v>1</v>
      </c>
      <c r="P106" s="5">
        <v>0</v>
      </c>
      <c r="Q106" s="5">
        <f t="shared" ref="Q106" si="212">P106*O106</f>
        <v>0</v>
      </c>
      <c r="R106" s="6">
        <f t="shared" ref="R106" si="213">IFERROR(Q106+N106+L106,"")</f>
        <v>3.8</v>
      </c>
    </row>
    <row r="107" spans="1:18" x14ac:dyDescent="0.25">
      <c r="A107" t="s">
        <v>27</v>
      </c>
      <c r="B107" t="str">
        <f t="shared" ref="B107" si="214">IF($G106="","Hide","Show")</f>
        <v>Show</v>
      </c>
      <c r="H107" t="str">
        <f>"6-54 oz"</f>
        <v>6-54 oz</v>
      </c>
    </row>
    <row r="108" spans="1:18" x14ac:dyDescent="0.25">
      <c r="A108" t="s">
        <v>27</v>
      </c>
      <c r="B108" t="str">
        <f t="shared" si="194"/>
        <v>Show</v>
      </c>
      <c r="E108" s="1"/>
      <c r="F108" t="str">
        <f>"""Ceres4"",""TCP-LIVE"",""27"",""1"",""250158"""</f>
        <v>"Ceres4","TCP-LIVE","27","1","250158"</v>
      </c>
      <c r="G108" t="str">
        <f>"250158"</f>
        <v>250158</v>
      </c>
      <c r="H108" t="str">
        <f>"Entree - Orange Chichen PF Chang's"</f>
        <v>Entree - Orange Chichen PF Chang's</v>
      </c>
      <c r="I108" s="5" t="str">
        <f>"CS"</f>
        <v>CS</v>
      </c>
      <c r="J108" s="5">
        <v>9</v>
      </c>
      <c r="K108" s="5">
        <v>0.19</v>
      </c>
      <c r="L108">
        <f t="shared" ref="L108" si="215">IFERROR(IF(K108*J108=0,"0",K108*J108),0)</f>
        <v>1.71</v>
      </c>
      <c r="M108" s="5">
        <v>0</v>
      </c>
      <c r="N108" t="str">
        <f t="shared" ref="N108" si="216">IF(M108*J108=0,"0",M108*J108)</f>
        <v>0</v>
      </c>
      <c r="O108" s="5">
        <v>1</v>
      </c>
      <c r="P108" s="5">
        <v>0</v>
      </c>
      <c r="Q108" s="5">
        <f t="shared" ref="Q108" si="217">P108*O108</f>
        <v>0</v>
      </c>
      <c r="R108" s="6">
        <f t="shared" ref="R108" si="218">IFERROR(Q108+N108+L108,"")</f>
        <v>1.71</v>
      </c>
    </row>
    <row r="109" spans="1:18" x14ac:dyDescent="0.25">
      <c r="A109" t="s">
        <v>27</v>
      </c>
      <c r="B109" t="str">
        <f t="shared" ref="B109" si="219">IF($G108="","Hide","Show")</f>
        <v>Show</v>
      </c>
      <c r="H109" t="str">
        <f>"4-36 oz"</f>
        <v>4-36 oz</v>
      </c>
    </row>
    <row r="110" spans="1:18" x14ac:dyDescent="0.25">
      <c r="A110" t="s">
        <v>27</v>
      </c>
      <c r="B110" t="str">
        <f t="shared" si="194"/>
        <v>Show</v>
      </c>
      <c r="E110" s="1"/>
      <c r="F110" t="str">
        <f>"""Ceres4"",""TCP-LIVE"",""27"",""1"",""P250011"""</f>
        <v>"Ceres4","TCP-LIVE","27","1","P250011"</v>
      </c>
      <c r="G110" t="str">
        <f>"P250011"</f>
        <v>P250011</v>
      </c>
      <c r="H110" t="str">
        <f>"Entree - Stuffed Jalapeno Poppers"</f>
        <v>Entree - Stuffed Jalapeno Poppers</v>
      </c>
      <c r="I110" s="5" t="str">
        <f>"CS"</f>
        <v>CS</v>
      </c>
      <c r="J110" s="5">
        <v>3</v>
      </c>
      <c r="K110" s="5">
        <v>0</v>
      </c>
      <c r="L110" t="str">
        <f t="shared" ref="L110" si="220">IFERROR(IF(K110*J110=0,"0",K110*J110),0)</f>
        <v>0</v>
      </c>
      <c r="M110" s="5">
        <v>0</v>
      </c>
      <c r="N110" t="str">
        <f t="shared" ref="N110" si="221">IF(M110*J110=0,"0",M110*J110)</f>
        <v>0</v>
      </c>
      <c r="O110" s="5">
        <v>1.1000000000000001</v>
      </c>
      <c r="P110" s="5">
        <v>15.495000000000001</v>
      </c>
      <c r="Q110" s="5">
        <f t="shared" ref="Q110" si="222">P110*O110</f>
        <v>17.044500000000003</v>
      </c>
      <c r="R110" s="6">
        <f t="shared" ref="R110" si="223">IFERROR(Q110+N110+L110,"")</f>
        <v>17.044500000000003</v>
      </c>
    </row>
    <row r="111" spans="1:18" x14ac:dyDescent="0.25">
      <c r="A111" t="s">
        <v>27</v>
      </c>
      <c r="B111" t="str">
        <f t="shared" ref="B111" si="224">IF($G110="","Hide","Show")</f>
        <v>Show</v>
      </c>
      <c r="H111" t="str">
        <f>"1-3 lb bag"</f>
        <v>1-3 lb bag</v>
      </c>
    </row>
    <row r="112" spans="1:18" x14ac:dyDescent="0.25">
      <c r="A112" t="s">
        <v>27</v>
      </c>
      <c r="B112" t="str">
        <f t="shared" si="194"/>
        <v>Show</v>
      </c>
      <c r="E112" s="1"/>
      <c r="F112" t="str">
        <f>"""Ceres4"",""TCP-LIVE"",""27"",""1"",""P250045"""</f>
        <v>"Ceres4","TCP-LIVE","27","1","P250045"</v>
      </c>
      <c r="G112" t="str">
        <f>"P250045"</f>
        <v>P250045</v>
      </c>
      <c r="H112" t="str">
        <f>"Entree- Pizza"</f>
        <v>Entree- Pizza</v>
      </c>
      <c r="I112" s="5" t="str">
        <f>"BOX"</f>
        <v>BOX</v>
      </c>
      <c r="J112" s="5">
        <v>18</v>
      </c>
      <c r="K112" s="5">
        <v>0</v>
      </c>
      <c r="L112" t="str">
        <f t="shared" ref="L112" si="225">IFERROR(IF(K112*J112=0,"0",K112*J112),0)</f>
        <v>0</v>
      </c>
      <c r="M112" s="5">
        <v>0</v>
      </c>
      <c r="N112" t="str">
        <f t="shared" ref="N112" si="226">IF(M112*J112=0,"0",M112*J112)</f>
        <v>0</v>
      </c>
      <c r="O112" s="5">
        <v>1.2</v>
      </c>
      <c r="P112" s="5">
        <v>49.75</v>
      </c>
      <c r="Q112" s="5">
        <f t="shared" ref="Q112" si="227">P112*O112</f>
        <v>59.699999999999996</v>
      </c>
      <c r="R112" s="6">
        <f t="shared" ref="R112" si="228">IFERROR(Q112+N112+L112,"")</f>
        <v>59.699999999999996</v>
      </c>
    </row>
    <row r="113" spans="1:18" x14ac:dyDescent="0.25">
      <c r="A113" t="s">
        <v>27</v>
      </c>
      <c r="B113" t="str">
        <f t="shared" ref="B113" si="229">IF($G112="","Hide","Show")</f>
        <v>Show</v>
      </c>
      <c r="H113" t="str">
        <f>"54-5.45 oz"</f>
        <v>54-5.45 oz</v>
      </c>
    </row>
    <row r="114" spans="1:18" x14ac:dyDescent="0.25">
      <c r="A114" t="s">
        <v>27</v>
      </c>
      <c r="B114" t="str">
        <f t="shared" si="194"/>
        <v>Show</v>
      </c>
      <c r="E114" s="1"/>
      <c r="F114" t="str">
        <f>"""Ceres4"",""TCP-LIVE"",""27"",""1"",""P250072"""</f>
        <v>"Ceres4","TCP-LIVE","27","1","P250072"</v>
      </c>
      <c r="G114" t="str">
        <f>"P250072"</f>
        <v>P250072</v>
      </c>
      <c r="H114" t="str">
        <f>"Entree - Chimichangas - Steak and Cheese"</f>
        <v>Entree - Chimichangas - Steak and Cheese</v>
      </c>
      <c r="I114" s="5" t="str">
        <f>"CS"</f>
        <v>CS</v>
      </c>
      <c r="J114" s="5">
        <v>15</v>
      </c>
      <c r="K114" s="5">
        <v>0</v>
      </c>
      <c r="L114" t="str">
        <f t="shared" ref="L114" si="230">IFERROR(IF(K114*J114=0,"0",K114*J114),0)</f>
        <v>0</v>
      </c>
      <c r="M114" s="5">
        <v>0</v>
      </c>
      <c r="N114" t="str">
        <f t="shared" ref="N114" si="231">IF(M114*J114=0,"0",M114*J114)</f>
        <v>0</v>
      </c>
      <c r="O114" s="5">
        <v>1.1000000000000001</v>
      </c>
      <c r="P114" s="5">
        <v>12.3</v>
      </c>
      <c r="Q114" s="5">
        <f t="shared" ref="Q114" si="232">P114*O114</f>
        <v>13.530000000000001</v>
      </c>
      <c r="R114" s="6">
        <f t="shared" ref="R114" si="233">IFERROR(Q114+N114+L114,"")</f>
        <v>13.530000000000001</v>
      </c>
    </row>
    <row r="115" spans="1:18" x14ac:dyDescent="0.25">
      <c r="A115" t="s">
        <v>27</v>
      </c>
      <c r="B115" t="str">
        <f t="shared" ref="B115" si="234">IF($G114="","Hide","Show")</f>
        <v>Show</v>
      </c>
      <c r="H115" t="str">
        <f>"48-5 oz"</f>
        <v>48-5 oz</v>
      </c>
    </row>
    <row r="116" spans="1:18" x14ac:dyDescent="0.25">
      <c r="A116" t="s">
        <v>27</v>
      </c>
      <c r="B116" t="str">
        <f t="shared" si="194"/>
        <v>Show</v>
      </c>
      <c r="E116" s="1"/>
      <c r="F116" t="str">
        <f>"""Ceres4"",""TCP-LIVE"",""27"",""1"",""P269991"""</f>
        <v>"Ceres4","TCP-LIVE","27","1","P269991"</v>
      </c>
      <c r="G116" t="str">
        <f>"P269991"</f>
        <v>P269991</v>
      </c>
      <c r="H116" t="str">
        <f>"Entree - PB and J Sandwich"</f>
        <v>Entree - PB and J Sandwich</v>
      </c>
      <c r="I116" s="5" t="str">
        <f>"BOX"</f>
        <v>BOX</v>
      </c>
      <c r="J116" s="5">
        <v>14</v>
      </c>
      <c r="K116" s="5">
        <v>0</v>
      </c>
      <c r="L116" t="str">
        <f t="shared" ref="L116" si="235">IFERROR(IF(K116*J116=0,"0",K116*J116),0)</f>
        <v>0</v>
      </c>
      <c r="M116" s="5">
        <v>0</v>
      </c>
      <c r="N116" t="str">
        <f t="shared" ref="N116" si="236">IF(M116*J116=0,"0",M116*J116)</f>
        <v>0</v>
      </c>
      <c r="O116" s="5">
        <v>1.2</v>
      </c>
      <c r="P116" s="5">
        <v>39.870000000000005</v>
      </c>
      <c r="Q116" s="5">
        <f t="shared" ref="Q116" si="237">P116*O116</f>
        <v>47.844000000000001</v>
      </c>
      <c r="R116" s="6">
        <f t="shared" ref="R116" si="238">IFERROR(Q116+N116+L116,"")</f>
        <v>47.844000000000001</v>
      </c>
    </row>
    <row r="117" spans="1:18" x14ac:dyDescent="0.25">
      <c r="A117" t="s">
        <v>27</v>
      </c>
      <c r="B117" t="str">
        <f t="shared" ref="B117" si="239">IF($G116="","Hide","Show")</f>
        <v>Show</v>
      </c>
      <c r="H117" t="str">
        <f>"72-3 oz"</f>
        <v>72-3 oz</v>
      </c>
    </row>
    <row r="118" spans="1:18" x14ac:dyDescent="0.25">
      <c r="A118" t="s">
        <v>27</v>
      </c>
      <c r="B118" t="str">
        <f t="shared" ref="B118" si="240">IF($G100="","Hide","Show")</f>
        <v>Show</v>
      </c>
    </row>
    <row r="119" spans="1:18" ht="17.25" x14ac:dyDescent="0.3">
      <c r="A119" t="s">
        <v>27</v>
      </c>
      <c r="B119" t="str">
        <f t="shared" ref="B119" si="241">IF($G120="","Hide","Show")</f>
        <v>Show</v>
      </c>
      <c r="C119" t="str">
        <f>"""Ceres4"",""TCP-LIVE"",""14012281"",""1"",""FRUIT/ VEG"""</f>
        <v>"Ceres4","TCP-LIVE","14012281","1","FRUIT/ VEG"</v>
      </c>
      <c r="D119" t="s">
        <v>40</v>
      </c>
      <c r="E119" s="9" t="s">
        <v>10</v>
      </c>
      <c r="F119" s="2"/>
      <c r="G119" s="8" t="s">
        <v>114</v>
      </c>
    </row>
    <row r="120" spans="1:18" x14ac:dyDescent="0.25">
      <c r="A120" t="s">
        <v>27</v>
      </c>
      <c r="B120" t="str">
        <f t="shared" ref="B120:B138" si="242">IF($G120="","Hide","Show")</f>
        <v>Show</v>
      </c>
      <c r="E120" s="1"/>
      <c r="F120" t="s">
        <v>115</v>
      </c>
      <c r="G120" t="str">
        <f>"P300001"</f>
        <v>P300001</v>
      </c>
      <c r="H120" t="str">
        <f>"Vegetable-Canned Sweet Corn"</f>
        <v>Vegetable-Canned Sweet Corn</v>
      </c>
      <c r="I120" s="5" t="str">
        <f>"CS"</f>
        <v>CS</v>
      </c>
      <c r="J120" s="5">
        <v>28</v>
      </c>
      <c r="K120" s="5">
        <v>0</v>
      </c>
      <c r="L120" t="str">
        <f t="shared" ref="L120" si="243">IFERROR(IF(K120*J120=0,"0",K120*J120),0)</f>
        <v>0</v>
      </c>
      <c r="M120" s="5">
        <v>0</v>
      </c>
      <c r="N120" t="str">
        <f t="shared" ref="N120" si="244">IF(M120*J120=0,"0",M120*J120)</f>
        <v>0</v>
      </c>
      <c r="O120" s="5">
        <v>1.2</v>
      </c>
      <c r="P120" s="5">
        <v>12.59</v>
      </c>
      <c r="Q120" s="5">
        <f t="shared" ref="Q120" si="245">P120*O120</f>
        <v>15.107999999999999</v>
      </c>
      <c r="R120" s="6">
        <f t="shared" ref="R120" si="246">IFERROR(Q120+N120+L120,"")</f>
        <v>15.107999999999999</v>
      </c>
    </row>
    <row r="121" spans="1:18" x14ac:dyDescent="0.25">
      <c r="A121" t="s">
        <v>27</v>
      </c>
      <c r="B121" t="str">
        <f t="shared" ref="B121" si="247">IF($G120="","Hide","Show")</f>
        <v>Show</v>
      </c>
      <c r="H121" t="str">
        <f>"24-15 oz"</f>
        <v>24-15 oz</v>
      </c>
    </row>
    <row r="122" spans="1:18" x14ac:dyDescent="0.25">
      <c r="A122" t="s">
        <v>27</v>
      </c>
      <c r="B122" t="str">
        <f t="shared" si="242"/>
        <v>Show</v>
      </c>
      <c r="E122" s="1"/>
      <c r="F122" t="str">
        <f>"""Ceres4"",""TCP-LIVE"",""27"",""1"",""P300002"""</f>
        <v>"Ceres4","TCP-LIVE","27","1","P300002"</v>
      </c>
      <c r="G122" t="str">
        <f>"P300002"</f>
        <v>P300002</v>
      </c>
      <c r="H122" t="str">
        <f>"Vegetable - Olives"</f>
        <v>Vegetable - Olives</v>
      </c>
      <c r="I122" s="5" t="str">
        <f>"EA"</f>
        <v>EA</v>
      </c>
      <c r="J122" s="5">
        <v>1</v>
      </c>
      <c r="K122" s="5">
        <v>0</v>
      </c>
      <c r="L122" t="str">
        <f t="shared" ref="L122" si="248">IFERROR(IF(K122*J122=0,"0",K122*J122),0)</f>
        <v>0</v>
      </c>
      <c r="M122" s="5">
        <v>0</v>
      </c>
      <c r="N122" t="str">
        <f t="shared" ref="N122" si="249">IF(M122*J122=0,"0",M122*J122)</f>
        <v>0</v>
      </c>
      <c r="O122" s="5">
        <v>1.2</v>
      </c>
      <c r="P122" s="5">
        <v>1.0900000000000001</v>
      </c>
      <c r="Q122" s="5">
        <f t="shared" ref="Q122" si="250">P122*O122</f>
        <v>1.3080000000000001</v>
      </c>
      <c r="R122" s="6">
        <f t="shared" ref="R122" si="251">IFERROR(Q122+N122+L122,"")</f>
        <v>1.3080000000000001</v>
      </c>
    </row>
    <row r="123" spans="1:18" x14ac:dyDescent="0.25">
      <c r="A123" t="s">
        <v>27</v>
      </c>
      <c r="B123" t="str">
        <f t="shared" ref="B123" si="252">IF($G122="","Hide","Show")</f>
        <v>Show</v>
      </c>
      <c r="H123" t="str">
        <f>"1- 16 oz"</f>
        <v>1- 16 oz</v>
      </c>
    </row>
    <row r="124" spans="1:18" x14ac:dyDescent="0.25">
      <c r="A124" t="s">
        <v>27</v>
      </c>
      <c r="B124" t="str">
        <f t="shared" si="242"/>
        <v>Show</v>
      </c>
      <c r="E124" s="1"/>
      <c r="F124" t="str">
        <f>"""Ceres4"",""TCP-LIVE"",""27"",""1"",""P300005"""</f>
        <v>"Ceres4","TCP-LIVE","27","1","P300005"</v>
      </c>
      <c r="G124" t="str">
        <f>"P300005"</f>
        <v>P300005</v>
      </c>
      <c r="H124" t="str">
        <f>"Vegetable-Canned Green Beans"</f>
        <v>Vegetable-Canned Green Beans</v>
      </c>
      <c r="I124" s="5" t="str">
        <f>"CS"</f>
        <v>CS</v>
      </c>
      <c r="J124" s="5">
        <v>28</v>
      </c>
      <c r="K124" s="5">
        <v>0</v>
      </c>
      <c r="L124" t="str">
        <f t="shared" ref="L124" si="253">IFERROR(IF(K124*J124=0,"0",K124*J124),0)</f>
        <v>0</v>
      </c>
      <c r="M124" s="5">
        <v>0</v>
      </c>
      <c r="N124" t="str">
        <f t="shared" ref="N124" si="254">IF(M124*J124=0,"0",M124*J124)</f>
        <v>0</v>
      </c>
      <c r="O124" s="5">
        <v>1.2</v>
      </c>
      <c r="P124" s="5">
        <v>12.59</v>
      </c>
      <c r="Q124" s="5">
        <f t="shared" ref="Q124" si="255">P124*O124</f>
        <v>15.107999999999999</v>
      </c>
      <c r="R124" s="6">
        <f t="shared" ref="R124" si="256">IFERROR(Q124+N124+L124,"")</f>
        <v>15.107999999999999</v>
      </c>
    </row>
    <row r="125" spans="1:18" x14ac:dyDescent="0.25">
      <c r="A125" t="s">
        <v>27</v>
      </c>
      <c r="B125" t="str">
        <f t="shared" ref="B125" si="257">IF($G124="","Hide","Show")</f>
        <v>Show</v>
      </c>
      <c r="H125" t="str">
        <f>"24-15 oz"</f>
        <v>24-15 oz</v>
      </c>
    </row>
    <row r="126" spans="1:18" x14ac:dyDescent="0.25">
      <c r="A126" t="s">
        <v>27</v>
      </c>
      <c r="B126" t="str">
        <f t="shared" si="242"/>
        <v>Show</v>
      </c>
      <c r="E126" s="1"/>
      <c r="F126" t="str">
        <f>"""Ceres4"",""TCP-LIVE"",""27"",""1"",""P300023"""</f>
        <v>"Ceres4","TCP-LIVE","27","1","P300023"</v>
      </c>
      <c r="G126" t="str">
        <f>"P300023"</f>
        <v>P300023</v>
      </c>
      <c r="H126" t="str">
        <f>"Vegetable- Whole Potatoes"</f>
        <v>Vegetable- Whole Potatoes</v>
      </c>
      <c r="I126" s="5" t="str">
        <f>"CS"</f>
        <v>CS</v>
      </c>
      <c r="J126" s="5">
        <v>27</v>
      </c>
      <c r="K126" s="5">
        <v>0</v>
      </c>
      <c r="L126" t="str">
        <f t="shared" ref="L126" si="258">IFERROR(IF(K126*J126=0,"0",K126*J126),0)</f>
        <v>0</v>
      </c>
      <c r="M126" s="5">
        <v>0</v>
      </c>
      <c r="N126" t="str">
        <f t="shared" ref="N126" si="259">IF(M126*J126=0,"0",M126*J126)</f>
        <v>0</v>
      </c>
      <c r="O126" s="5">
        <v>1.2</v>
      </c>
      <c r="P126" s="5">
        <v>12.59</v>
      </c>
      <c r="Q126" s="5">
        <f t="shared" ref="Q126" si="260">P126*O126</f>
        <v>15.107999999999999</v>
      </c>
      <c r="R126" s="6">
        <f t="shared" ref="R126" si="261">IFERROR(Q126+N126+L126,"")</f>
        <v>15.107999999999999</v>
      </c>
    </row>
    <row r="127" spans="1:18" x14ac:dyDescent="0.25">
      <c r="A127" t="s">
        <v>27</v>
      </c>
      <c r="B127" t="str">
        <f t="shared" ref="B127" si="262">IF($G126="","Hide","Show")</f>
        <v>Show</v>
      </c>
      <c r="H127" t="str">
        <f>"24-15 oz"</f>
        <v>24-15 oz</v>
      </c>
    </row>
    <row r="128" spans="1:18" x14ac:dyDescent="0.25">
      <c r="A128" t="s">
        <v>27</v>
      </c>
      <c r="B128" t="str">
        <f t="shared" si="242"/>
        <v>Show</v>
      </c>
      <c r="E128" s="1"/>
      <c r="F128" t="str">
        <f>"""Ceres4"",""TCP-LIVE"",""27"",""1"",""P300025"""</f>
        <v>"Ceres4","TCP-LIVE","27","1","P300025"</v>
      </c>
      <c r="G128" t="str">
        <f>"P300025"</f>
        <v>P300025</v>
      </c>
      <c r="H128" t="str">
        <f>"Vegetable-Canned Tomato Sauce"</f>
        <v>Vegetable-Canned Tomato Sauce</v>
      </c>
      <c r="I128" s="5" t="str">
        <f>"CS"</f>
        <v>CS</v>
      </c>
      <c r="J128" s="5">
        <v>29</v>
      </c>
      <c r="K128" s="5">
        <v>0</v>
      </c>
      <c r="L128" t="str">
        <f t="shared" ref="L128" si="263">IFERROR(IF(K128*J128=0,"0",K128*J128),0)</f>
        <v>0</v>
      </c>
      <c r="M128" s="5">
        <v>0</v>
      </c>
      <c r="N128" t="str">
        <f t="shared" ref="N128" si="264">IF(M128*J128=0,"0",M128*J128)</f>
        <v>0</v>
      </c>
      <c r="O128" s="5">
        <v>1.2</v>
      </c>
      <c r="P128" s="5">
        <v>14.15</v>
      </c>
      <c r="Q128" s="5">
        <f t="shared" ref="Q128" si="265">P128*O128</f>
        <v>16.98</v>
      </c>
      <c r="R128" s="6">
        <f t="shared" ref="R128" si="266">IFERROR(Q128+N128+L128,"")</f>
        <v>16.98</v>
      </c>
    </row>
    <row r="129" spans="1:18" x14ac:dyDescent="0.25">
      <c r="A129" t="s">
        <v>27</v>
      </c>
      <c r="B129" t="str">
        <f t="shared" ref="B129" si="267">IF($G128="","Hide","Show")</f>
        <v>Show</v>
      </c>
      <c r="H129" t="str">
        <f>"48- 8 oz"</f>
        <v>48- 8 oz</v>
      </c>
    </row>
    <row r="130" spans="1:18" x14ac:dyDescent="0.25">
      <c r="A130" t="s">
        <v>27</v>
      </c>
      <c r="B130" t="str">
        <f t="shared" si="242"/>
        <v>Show</v>
      </c>
      <c r="E130" s="1"/>
      <c r="F130" t="str">
        <f>"""Ceres4"",""TCP-LIVE"",""27"",""1"",""P300030"""</f>
        <v>"Ceres4","TCP-LIVE","27","1","P300030"</v>
      </c>
      <c r="G130" t="str">
        <f>"P300030"</f>
        <v>P300030</v>
      </c>
      <c r="H130" t="str">
        <f>"Fruit - Sliced Peaches"</f>
        <v>Fruit - Sliced Peaches</v>
      </c>
      <c r="I130" s="5" t="str">
        <f>"CS"</f>
        <v>CS</v>
      </c>
      <c r="J130" s="5">
        <v>23</v>
      </c>
      <c r="K130" s="5">
        <v>0</v>
      </c>
      <c r="L130" t="str">
        <f t="shared" ref="L130" si="268">IFERROR(IF(K130*J130=0,"0",K130*J130),0)</f>
        <v>0</v>
      </c>
      <c r="M130" s="5">
        <v>0</v>
      </c>
      <c r="N130" t="str">
        <f t="shared" ref="N130" si="269">IF(M130*J130=0,"0",M130*J130)</f>
        <v>0</v>
      </c>
      <c r="O130" s="5">
        <v>1.2</v>
      </c>
      <c r="P130" s="5">
        <v>17.39</v>
      </c>
      <c r="Q130" s="5">
        <f t="shared" ref="Q130" si="270">P130*O130</f>
        <v>20.867999999999999</v>
      </c>
      <c r="R130" s="6">
        <f t="shared" ref="R130" si="271">IFERROR(Q130+N130+L130,"")</f>
        <v>20.867999999999999</v>
      </c>
    </row>
    <row r="131" spans="1:18" x14ac:dyDescent="0.25">
      <c r="A131" t="s">
        <v>27</v>
      </c>
      <c r="B131" t="str">
        <f t="shared" ref="B131" si="272">IF($G130="","Hide","Show")</f>
        <v>Show</v>
      </c>
      <c r="H131" t="str">
        <f>"24-15 oz"</f>
        <v>24-15 oz</v>
      </c>
    </row>
    <row r="132" spans="1:18" x14ac:dyDescent="0.25">
      <c r="A132" t="s">
        <v>27</v>
      </c>
      <c r="B132" t="str">
        <f t="shared" si="242"/>
        <v>Show</v>
      </c>
      <c r="E132" s="1"/>
      <c r="F132" t="str">
        <f>"""Ceres4"",""TCP-LIVE"",""27"",""1"",""P300037"""</f>
        <v>"Ceres4","TCP-LIVE","27","1","P300037"</v>
      </c>
      <c r="G132" t="str">
        <f>"P300037"</f>
        <v>P300037</v>
      </c>
      <c r="H132" t="str">
        <f>"Fruit - Sliced Pears"</f>
        <v>Fruit - Sliced Pears</v>
      </c>
      <c r="I132" s="5" t="str">
        <f>"CS"</f>
        <v>CS</v>
      </c>
      <c r="J132" s="5">
        <v>26</v>
      </c>
      <c r="K132" s="5">
        <v>0</v>
      </c>
      <c r="L132" t="str">
        <f t="shared" ref="L132" si="273">IFERROR(IF(K132*J132=0,"0",K132*J132),0)</f>
        <v>0</v>
      </c>
      <c r="M132" s="5">
        <v>0</v>
      </c>
      <c r="N132" t="str">
        <f t="shared" ref="N132" si="274">IF(M132*J132=0,"0",M132*J132)</f>
        <v>0</v>
      </c>
      <c r="O132" s="5">
        <v>1.1499999999999999</v>
      </c>
      <c r="P132" s="5">
        <v>17.38</v>
      </c>
      <c r="Q132" s="5">
        <f t="shared" ref="Q132" si="275">P132*O132</f>
        <v>19.986999999999998</v>
      </c>
      <c r="R132" s="6">
        <f t="shared" ref="R132" si="276">IFERROR(Q132+N132+L132,"")</f>
        <v>19.986999999999998</v>
      </c>
    </row>
    <row r="133" spans="1:18" x14ac:dyDescent="0.25">
      <c r="A133" t="s">
        <v>27</v>
      </c>
      <c r="B133" t="str">
        <f t="shared" ref="B133" si="277">IF($G132="","Hide","Show")</f>
        <v>Show</v>
      </c>
      <c r="H133" t="str">
        <f>"24-15 oz"</f>
        <v>24-15 oz</v>
      </c>
    </row>
    <row r="134" spans="1:18" x14ac:dyDescent="0.25">
      <c r="A134" t="s">
        <v>27</v>
      </c>
      <c r="B134" t="str">
        <f t="shared" si="242"/>
        <v>Show</v>
      </c>
      <c r="E134" s="1"/>
      <c r="F134" t="str">
        <f>"""Ceres4"",""TCP-LIVE"",""27"",""1"",""P300038"""</f>
        <v>"Ceres4","TCP-LIVE","27","1","P300038"</v>
      </c>
      <c r="G134" t="str">
        <f>"P300038"</f>
        <v>P300038</v>
      </c>
      <c r="H134" t="str">
        <f>"Fruit - Crushed Pineapple"</f>
        <v>Fruit - Crushed Pineapple</v>
      </c>
      <c r="I134" s="5" t="str">
        <f>"CS"</f>
        <v>CS</v>
      </c>
      <c r="J134" s="5">
        <v>30</v>
      </c>
      <c r="K134" s="5">
        <v>0</v>
      </c>
      <c r="L134" t="str">
        <f t="shared" ref="L134" si="278">IFERROR(IF(K134*J134=0,"0",K134*J134),0)</f>
        <v>0</v>
      </c>
      <c r="M134" s="5">
        <v>0</v>
      </c>
      <c r="N134" t="str">
        <f t="shared" ref="N134" si="279">IF(M134*J134=0,"0",M134*J134)</f>
        <v>0</v>
      </c>
      <c r="O134" s="5">
        <v>1.1499999999999999</v>
      </c>
      <c r="P134" s="5">
        <v>18.59</v>
      </c>
      <c r="Q134" s="5">
        <f t="shared" ref="Q134" si="280">P134*O134</f>
        <v>21.378499999999999</v>
      </c>
      <c r="R134" s="6">
        <f t="shared" ref="R134" si="281">IFERROR(Q134+N134+L134,"")</f>
        <v>21.378499999999999</v>
      </c>
    </row>
    <row r="135" spans="1:18" x14ac:dyDescent="0.25">
      <c r="A135" t="s">
        <v>27</v>
      </c>
      <c r="B135" t="str">
        <f t="shared" ref="B135" si="282">IF($G134="","Hide","Show")</f>
        <v>Show</v>
      </c>
      <c r="H135" t="str">
        <f>"24-20 oz"</f>
        <v>24-20 oz</v>
      </c>
    </row>
    <row r="136" spans="1:18" x14ac:dyDescent="0.25">
      <c r="A136" t="s">
        <v>27</v>
      </c>
      <c r="B136" t="str">
        <f t="shared" si="242"/>
        <v>Show</v>
      </c>
      <c r="E136" s="1"/>
      <c r="F136" t="str">
        <f>"""Ceres4"",""TCP-LIVE"",""27"",""1"",""P319989"""</f>
        <v>"Ceres4","TCP-LIVE","27","1","P319989"</v>
      </c>
      <c r="G136" t="str">
        <f>"P319989"</f>
        <v>P319989</v>
      </c>
      <c r="H136" t="str">
        <f>"Vegetable- Crushed Tomatoes"</f>
        <v>Vegetable- Crushed Tomatoes</v>
      </c>
      <c r="I136" s="5" t="str">
        <f>"CS"</f>
        <v>CS</v>
      </c>
      <c r="J136" s="5">
        <v>23</v>
      </c>
      <c r="K136" s="5">
        <v>0</v>
      </c>
      <c r="L136" t="str">
        <f t="shared" ref="L136" si="283">IFERROR(IF(K136*J136=0,"0",K136*J136),0)</f>
        <v>0</v>
      </c>
      <c r="M136" s="5">
        <v>0</v>
      </c>
      <c r="N136" t="str">
        <f t="shared" ref="N136" si="284">IF(M136*J136=0,"0",M136*J136)</f>
        <v>0</v>
      </c>
      <c r="O136" s="5">
        <v>1.2</v>
      </c>
      <c r="P136" s="5">
        <v>13.07</v>
      </c>
      <c r="Q136" s="5">
        <f t="shared" ref="Q136" si="285">P136*O136</f>
        <v>15.683999999999999</v>
      </c>
      <c r="R136" s="6">
        <f t="shared" ref="R136" si="286">IFERROR(Q136+N136+L136,"")</f>
        <v>15.683999999999999</v>
      </c>
    </row>
    <row r="137" spans="1:18" x14ac:dyDescent="0.25">
      <c r="A137" t="s">
        <v>27</v>
      </c>
      <c r="B137" t="str">
        <f t="shared" ref="B137" si="287">IF($G136="","Hide","Show")</f>
        <v>Show</v>
      </c>
      <c r="H137" t="str">
        <f>"24-15 oz"</f>
        <v>24-15 oz</v>
      </c>
    </row>
    <row r="138" spans="1:18" x14ac:dyDescent="0.25">
      <c r="A138" t="s">
        <v>27</v>
      </c>
      <c r="B138" t="str">
        <f t="shared" si="242"/>
        <v>Show</v>
      </c>
      <c r="E138" s="1"/>
      <c r="F138" t="str">
        <f>"""Ceres4"",""TCP-LIVE"",""27"",""1"",""P319999"""</f>
        <v>"Ceres4","TCP-LIVE","27","1","P319999"</v>
      </c>
      <c r="G138" t="str">
        <f>"P319999"</f>
        <v>P319999</v>
      </c>
      <c r="H138" t="str">
        <f>"Vegetable- Yams"</f>
        <v>Vegetable- Yams</v>
      </c>
      <c r="I138" s="5" t="str">
        <f>"EA"</f>
        <v>EA</v>
      </c>
      <c r="J138" s="5">
        <v>1</v>
      </c>
      <c r="K138" s="5">
        <v>0</v>
      </c>
      <c r="L138" t="str">
        <f t="shared" ref="L138" si="288">IFERROR(IF(K138*J138=0,"0",K138*J138),0)</f>
        <v>0</v>
      </c>
      <c r="M138" s="5">
        <v>0</v>
      </c>
      <c r="N138" t="str">
        <f t="shared" ref="N138" si="289">IF(M138*J138=0,"0",M138*J138)</f>
        <v>0</v>
      </c>
      <c r="O138" s="5">
        <v>1.2</v>
      </c>
      <c r="P138" s="5">
        <v>0.99</v>
      </c>
      <c r="Q138" s="5">
        <f t="shared" ref="Q138" si="290">P138*O138</f>
        <v>1.1879999999999999</v>
      </c>
      <c r="R138" s="6">
        <f t="shared" ref="R138" si="291">IFERROR(Q138+N138+L138,"")</f>
        <v>1.1879999999999999</v>
      </c>
    </row>
    <row r="139" spans="1:18" x14ac:dyDescent="0.25">
      <c r="A139" t="s">
        <v>27</v>
      </c>
      <c r="B139" t="str">
        <f t="shared" ref="B139" si="292">IF($G138="","Hide","Show")</f>
        <v>Show</v>
      </c>
      <c r="H139" t="str">
        <f>"1- 16 oz"</f>
        <v>1- 16 oz</v>
      </c>
    </row>
    <row r="140" spans="1:18" x14ac:dyDescent="0.25">
      <c r="A140" t="s">
        <v>27</v>
      </c>
      <c r="B140" t="str">
        <f t="shared" ref="B140" si="293">IF($G120="","Hide","Show")</f>
        <v>Show</v>
      </c>
    </row>
    <row r="141" spans="1:18" ht="17.25" hidden="1" x14ac:dyDescent="0.3">
      <c r="A141" t="s">
        <v>27</v>
      </c>
      <c r="B141" t="str">
        <f t="shared" ref="B141" si="294">IF($G142="","Hide","Show")</f>
        <v>Hide</v>
      </c>
      <c r="C141" t="str">
        <f>"""Ceres4"",""TCP-LIVE"",""14012281"",""1"",""GRAIN"""</f>
        <v>"Ceres4","TCP-LIVE","14012281","1","GRAIN"</v>
      </c>
      <c r="D141" t="s">
        <v>41</v>
      </c>
      <c r="E141" s="9" t="s">
        <v>10</v>
      </c>
      <c r="F141" s="2"/>
      <c r="G141" s="8" t="s">
        <v>70</v>
      </c>
    </row>
    <row r="142" spans="1:18" hidden="1" x14ac:dyDescent="0.25">
      <c r="A142" t="s">
        <v>27</v>
      </c>
      <c r="B142" t="str">
        <f t="shared" ref="B142" si="295">IF($G142="","Hide","Show")</f>
        <v>Hide</v>
      </c>
      <c r="E142" s="1"/>
      <c r="F142" t="s">
        <v>28</v>
      </c>
      <c r="G142" t="s">
        <v>28</v>
      </c>
      <c r="H142" t="s">
        <v>28</v>
      </c>
      <c r="I142" s="5" t="s">
        <v>28</v>
      </c>
      <c r="J142" s="5" t="s">
        <v>28</v>
      </c>
      <c r="K142" s="5" t="s">
        <v>66</v>
      </c>
      <c r="L142">
        <f t="shared" ref="L142" si="296">IFERROR(IF(K142*J142=0,"0",K142*J142),0)</f>
        <v>0</v>
      </c>
      <c r="M142" s="5" t="s">
        <v>28</v>
      </c>
      <c r="N142" t="e">
        <f t="shared" ref="N142" si="297">IF(M142*J142=0,"0",M142*J142)</f>
        <v>#VALUE!</v>
      </c>
      <c r="O142" s="5" t="s">
        <v>28</v>
      </c>
      <c r="P142" s="5" t="s">
        <v>28</v>
      </c>
      <c r="Q142" s="5" t="e">
        <f t="shared" ref="Q142" si="298">P142*O142</f>
        <v>#VALUE!</v>
      </c>
      <c r="R142" s="6" t="str">
        <f t="shared" ref="R142" si="299">IFERROR(Q142+N142+L142,"")</f>
        <v/>
      </c>
    </row>
    <row r="143" spans="1:18" hidden="1" x14ac:dyDescent="0.25">
      <c r="A143" t="s">
        <v>27</v>
      </c>
      <c r="B143" t="str">
        <f t="shared" ref="B143" si="300">IF($G142="","Hide","Show")</f>
        <v>Hide</v>
      </c>
      <c r="H143" t="s">
        <v>28</v>
      </c>
    </row>
    <row r="144" spans="1:18" hidden="1" x14ac:dyDescent="0.25">
      <c r="A144" t="s">
        <v>27</v>
      </c>
      <c r="B144" t="str">
        <f t="shared" ref="B144" si="301">IF($G142="","Hide","Show")</f>
        <v>Hide</v>
      </c>
    </row>
    <row r="145" spans="1:18" ht="17.25" x14ac:dyDescent="0.3">
      <c r="A145" t="s">
        <v>27</v>
      </c>
      <c r="B145" t="str">
        <f t="shared" ref="B145" si="302">IF($G146="","Hide","Show")</f>
        <v>Show</v>
      </c>
      <c r="C145" t="str">
        <f>"""Ceres4"",""TCP-LIVE"",""14012281"",""1"",""HOUSE PAP"""</f>
        <v>"Ceres4","TCP-LIVE","14012281","1","HOUSE PAP"</v>
      </c>
      <c r="D145" t="s">
        <v>42</v>
      </c>
      <c r="E145" s="9" t="s">
        <v>10</v>
      </c>
      <c r="F145" s="2"/>
      <c r="G145" s="8" t="s">
        <v>71</v>
      </c>
    </row>
    <row r="146" spans="1:18" x14ac:dyDescent="0.25">
      <c r="A146" t="s">
        <v>27</v>
      </c>
      <c r="B146" t="str">
        <f t="shared" ref="B146" si="303">IF($G146="","Hide","Show")</f>
        <v>Show</v>
      </c>
      <c r="E146" s="1"/>
      <c r="F146" t="s">
        <v>111</v>
      </c>
      <c r="G146" t="s">
        <v>72</v>
      </c>
      <c r="H146" t="s">
        <v>95</v>
      </c>
      <c r="I146" s="5" t="s">
        <v>93</v>
      </c>
      <c r="J146" s="5">
        <v>8</v>
      </c>
      <c r="K146" s="5">
        <v>0</v>
      </c>
      <c r="L146" t="str">
        <f t="shared" ref="L146" si="304">IFERROR(IF(K146*J146=0,"0",K146*J146),0)</f>
        <v>0</v>
      </c>
      <c r="M146" s="5">
        <v>0</v>
      </c>
      <c r="N146" t="str">
        <f t="shared" ref="N146" si="305">IF(M146*J146=0,"0",M146*J146)</f>
        <v>0</v>
      </c>
      <c r="O146" s="5">
        <v>1.2</v>
      </c>
      <c r="P146" s="5">
        <v>14.27</v>
      </c>
      <c r="Q146" s="5">
        <f t="shared" ref="Q146" si="306">P146*O146</f>
        <v>17.123999999999999</v>
      </c>
      <c r="R146" s="6">
        <f t="shared" ref="R146" si="307">IFERROR(Q146+N146+L146,"")</f>
        <v>17.123999999999999</v>
      </c>
    </row>
    <row r="147" spans="1:18" x14ac:dyDescent="0.25">
      <c r="A147" t="s">
        <v>27</v>
      </c>
      <c r="B147" t="str">
        <f t="shared" ref="B147" si="308">IF($G146="","Hide","Show")</f>
        <v>Show</v>
      </c>
      <c r="H147" t="s">
        <v>96</v>
      </c>
    </row>
    <row r="148" spans="1:18" x14ac:dyDescent="0.25">
      <c r="A148" t="s">
        <v>27</v>
      </c>
      <c r="B148" t="str">
        <f t="shared" ref="B148" si="309">IF($G146="","Hide","Show")</f>
        <v>Show</v>
      </c>
    </row>
    <row r="149" spans="1:18" ht="17.25" x14ac:dyDescent="0.3">
      <c r="A149" t="s">
        <v>27</v>
      </c>
      <c r="B149" t="str">
        <f t="shared" ref="B149" si="310">IF($G150="","Hide","Show")</f>
        <v>Show</v>
      </c>
      <c r="C149" t="str">
        <f>"""Ceres4"",""TCP-LIVE"",""14012281"",""1"",""HOUSE/SAN"""</f>
        <v>"Ceres4","TCP-LIVE","14012281","1","HOUSE/SAN"</v>
      </c>
      <c r="D149" t="s">
        <v>43</v>
      </c>
      <c r="E149" s="9" t="s">
        <v>10</v>
      </c>
      <c r="F149" s="2"/>
      <c r="G149" s="8" t="s">
        <v>73</v>
      </c>
    </row>
    <row r="150" spans="1:18" x14ac:dyDescent="0.25">
      <c r="A150" t="s">
        <v>27</v>
      </c>
      <c r="B150" t="str">
        <f t="shared" ref="B150" si="311">IF($G150="","Hide","Show")</f>
        <v>Show</v>
      </c>
      <c r="E150" s="1"/>
      <c r="F150" t="s">
        <v>112</v>
      </c>
      <c r="G150" t="s">
        <v>74</v>
      </c>
      <c r="H150" t="s">
        <v>97</v>
      </c>
      <c r="I150" s="5" t="s">
        <v>94</v>
      </c>
      <c r="J150" s="5">
        <v>14</v>
      </c>
      <c r="K150" s="5">
        <v>0</v>
      </c>
      <c r="L150" t="str">
        <f t="shared" ref="L150" si="312">IFERROR(IF(K150*J150=0,"0",K150*J150),0)</f>
        <v>0</v>
      </c>
      <c r="M150" s="5">
        <v>0</v>
      </c>
      <c r="N150" t="str">
        <f t="shared" ref="N150" si="313">IF(M150*J150=0,"0",M150*J150)</f>
        <v>0</v>
      </c>
      <c r="O150" s="5">
        <v>1.2</v>
      </c>
      <c r="P150" s="5">
        <v>32.799999999999997</v>
      </c>
      <c r="Q150" s="5">
        <f t="shared" ref="Q150" si="314">P150*O150</f>
        <v>39.359999999999992</v>
      </c>
      <c r="R150" s="6">
        <f t="shared" ref="R150" si="315">IFERROR(Q150+N150+L150,"")</f>
        <v>39.359999999999992</v>
      </c>
    </row>
    <row r="151" spans="1:18" x14ac:dyDescent="0.25">
      <c r="A151" t="s">
        <v>27</v>
      </c>
      <c r="B151" t="str">
        <f t="shared" ref="B151" si="316">IF($G150="","Hide","Show")</f>
        <v>Show</v>
      </c>
      <c r="H151" t="s">
        <v>98</v>
      </c>
    </row>
    <row r="152" spans="1:18" x14ac:dyDescent="0.25">
      <c r="A152" t="s">
        <v>27</v>
      </c>
      <c r="B152" t="str">
        <f t="shared" ref="B152" si="317">IF($G150="","Hide","Show")</f>
        <v>Show</v>
      </c>
    </row>
    <row r="153" spans="1:18" ht="17.25" hidden="1" x14ac:dyDescent="0.3">
      <c r="A153" t="s">
        <v>27</v>
      </c>
      <c r="B153" t="str">
        <f t="shared" ref="B153" si="318">IF($G154="","Hide","Show")</f>
        <v>Hide</v>
      </c>
      <c r="C153" t="str">
        <f>"""Ceres4"",""TCP-LIVE"",""14012281"",""1"",""JUICE"""</f>
        <v>"Ceres4","TCP-LIVE","14012281","1","JUICE"</v>
      </c>
      <c r="D153" t="s">
        <v>44</v>
      </c>
      <c r="E153" s="9" t="s">
        <v>10</v>
      </c>
      <c r="F153" s="2"/>
      <c r="G153" s="8" t="s">
        <v>75</v>
      </c>
    </row>
    <row r="154" spans="1:18" hidden="1" x14ac:dyDescent="0.25">
      <c r="A154" t="s">
        <v>27</v>
      </c>
      <c r="B154" t="str">
        <f t="shared" ref="B154" si="319">IF($G154="","Hide","Show")</f>
        <v>Hide</v>
      </c>
      <c r="E154" s="1"/>
      <c r="F154" t="s">
        <v>28</v>
      </c>
      <c r="G154" t="s">
        <v>28</v>
      </c>
      <c r="H154" t="s">
        <v>28</v>
      </c>
      <c r="I154" s="5" t="s">
        <v>28</v>
      </c>
      <c r="J154" s="5" t="s">
        <v>28</v>
      </c>
      <c r="K154" s="5" t="s">
        <v>66</v>
      </c>
      <c r="L154">
        <f t="shared" ref="L154" si="320">IFERROR(IF(K154*J154=0,"0",K154*J154),0)</f>
        <v>0</v>
      </c>
      <c r="M154" s="5" t="s">
        <v>28</v>
      </c>
      <c r="N154" t="e">
        <f t="shared" ref="N154" si="321">IF(M154*J154=0,"0",M154*J154)</f>
        <v>#VALUE!</v>
      </c>
      <c r="O154" s="5" t="s">
        <v>28</v>
      </c>
      <c r="P154" s="5" t="s">
        <v>28</v>
      </c>
      <c r="Q154" s="5" t="e">
        <f t="shared" ref="Q154" si="322">P154*O154</f>
        <v>#VALUE!</v>
      </c>
      <c r="R154" s="6" t="str">
        <f t="shared" ref="R154" si="323">IFERROR(Q154+N154+L154,"")</f>
        <v/>
      </c>
    </row>
    <row r="155" spans="1:18" hidden="1" x14ac:dyDescent="0.25">
      <c r="A155" t="s">
        <v>27</v>
      </c>
      <c r="B155" t="str">
        <f t="shared" ref="B155" si="324">IF($G154="","Hide","Show")</f>
        <v>Hide</v>
      </c>
      <c r="H155" t="s">
        <v>28</v>
      </c>
    </row>
    <row r="156" spans="1:18" hidden="1" x14ac:dyDescent="0.25">
      <c r="A156" t="s">
        <v>27</v>
      </c>
      <c r="B156" t="str">
        <f t="shared" ref="B156" si="325">IF($G154="","Hide","Show")</f>
        <v>Hide</v>
      </c>
    </row>
    <row r="157" spans="1:18" ht="17.25" hidden="1" x14ac:dyDescent="0.3">
      <c r="A157" t="s">
        <v>27</v>
      </c>
      <c r="B157" t="str">
        <f t="shared" ref="B157" si="326">IF($G158="","Hide","Show")</f>
        <v>Hide</v>
      </c>
      <c r="C157" t="str">
        <f>"""Ceres4"",""TCP-LIVE"",""14012281"",""1"",""MIXED/ASST"""</f>
        <v>"Ceres4","TCP-LIVE","14012281","1","MIXED/ASST"</v>
      </c>
      <c r="D157" t="s">
        <v>45</v>
      </c>
      <c r="E157" s="9" t="s">
        <v>10</v>
      </c>
      <c r="F157" s="2"/>
      <c r="G157" s="8" t="s">
        <v>76</v>
      </c>
    </row>
    <row r="158" spans="1:18" hidden="1" x14ac:dyDescent="0.25">
      <c r="A158" t="s">
        <v>27</v>
      </c>
      <c r="B158" t="str">
        <f t="shared" ref="B158" si="327">IF($G158="","Hide","Show")</f>
        <v>Hide</v>
      </c>
      <c r="E158" s="1"/>
      <c r="F158" t="s">
        <v>28</v>
      </c>
      <c r="G158" t="s">
        <v>28</v>
      </c>
      <c r="H158" t="s">
        <v>28</v>
      </c>
      <c r="I158" s="5" t="s">
        <v>28</v>
      </c>
      <c r="J158" s="5" t="s">
        <v>28</v>
      </c>
      <c r="K158" s="5" t="s">
        <v>66</v>
      </c>
      <c r="L158">
        <f t="shared" ref="L158" si="328">IFERROR(IF(K158*J158=0,"0",K158*J158),0)</f>
        <v>0</v>
      </c>
      <c r="M158" s="5" t="s">
        <v>28</v>
      </c>
      <c r="N158" t="e">
        <f t="shared" ref="N158" si="329">IF(M158*J158=0,"0",M158*J158)</f>
        <v>#VALUE!</v>
      </c>
      <c r="O158" s="5" t="s">
        <v>28</v>
      </c>
      <c r="P158" s="5" t="s">
        <v>28</v>
      </c>
      <c r="Q158" s="5" t="e">
        <f t="shared" ref="Q158" si="330">P158*O158</f>
        <v>#VALUE!</v>
      </c>
      <c r="R158" s="6" t="str">
        <f t="shared" ref="R158" si="331">IFERROR(Q158+N158+L158,"")</f>
        <v/>
      </c>
    </row>
    <row r="159" spans="1:18" hidden="1" x14ac:dyDescent="0.25">
      <c r="A159" t="s">
        <v>27</v>
      </c>
      <c r="B159" t="str">
        <f t="shared" ref="B159" si="332">IF($G158="","Hide","Show")</f>
        <v>Hide</v>
      </c>
      <c r="H159" t="s">
        <v>28</v>
      </c>
    </row>
    <row r="160" spans="1:18" hidden="1" x14ac:dyDescent="0.25">
      <c r="A160" t="s">
        <v>27</v>
      </c>
      <c r="B160" t="str">
        <f t="shared" ref="B160" si="333">IF($G158="","Hide","Show")</f>
        <v>Hide</v>
      </c>
    </row>
    <row r="161" spans="1:18" ht="17.25" hidden="1" x14ac:dyDescent="0.3">
      <c r="A161" t="s">
        <v>27</v>
      </c>
      <c r="B161" t="str">
        <f t="shared" ref="B161" si="334">IF($G162="","Hide","Show")</f>
        <v>Hide</v>
      </c>
      <c r="C161" t="str">
        <f>"""Ceres4"",""TCP-LIVE"",""14012281"",""1"",""NF"""</f>
        <v>"Ceres4","TCP-LIVE","14012281","1","NF"</v>
      </c>
      <c r="D161" t="s">
        <v>46</v>
      </c>
      <c r="E161" s="9" t="s">
        <v>10</v>
      </c>
      <c r="F161" s="2"/>
      <c r="G161" s="8" t="s">
        <v>77</v>
      </c>
    </row>
    <row r="162" spans="1:18" hidden="1" x14ac:dyDescent="0.25">
      <c r="A162" t="s">
        <v>27</v>
      </c>
      <c r="B162" t="str">
        <f t="shared" ref="B162" si="335">IF($G162="","Hide","Show")</f>
        <v>Hide</v>
      </c>
      <c r="E162" s="1"/>
      <c r="F162" t="s">
        <v>28</v>
      </c>
      <c r="G162" t="s">
        <v>28</v>
      </c>
      <c r="H162" t="s">
        <v>28</v>
      </c>
      <c r="I162" s="5" t="s">
        <v>28</v>
      </c>
      <c r="J162" s="5" t="s">
        <v>28</v>
      </c>
      <c r="K162" s="5" t="s">
        <v>66</v>
      </c>
      <c r="L162">
        <f t="shared" ref="L162" si="336">IFERROR(IF(K162*J162=0,"0",K162*J162),0)</f>
        <v>0</v>
      </c>
      <c r="M162" s="5" t="s">
        <v>28</v>
      </c>
      <c r="N162" t="e">
        <f t="shared" ref="N162" si="337">IF(M162*J162=0,"0",M162*J162)</f>
        <v>#VALUE!</v>
      </c>
      <c r="O162" s="5" t="s">
        <v>28</v>
      </c>
      <c r="P162" s="5" t="s">
        <v>28</v>
      </c>
      <c r="Q162" s="5" t="e">
        <f t="shared" ref="Q162" si="338">P162*O162</f>
        <v>#VALUE!</v>
      </c>
      <c r="R162" s="6" t="str">
        <f t="shared" ref="R162" si="339">IFERROR(Q162+N162+L162,"")</f>
        <v/>
      </c>
    </row>
    <row r="163" spans="1:18" hidden="1" x14ac:dyDescent="0.25">
      <c r="A163" t="s">
        <v>27</v>
      </c>
      <c r="B163" t="str">
        <f t="shared" ref="B163" si="340">IF($G162="","Hide","Show")</f>
        <v>Hide</v>
      </c>
      <c r="H163" t="s">
        <v>28</v>
      </c>
    </row>
    <row r="164" spans="1:18" hidden="1" x14ac:dyDescent="0.25">
      <c r="A164" t="s">
        <v>27</v>
      </c>
      <c r="B164" t="str">
        <f t="shared" ref="B164" si="341">IF($G162="","Hide","Show")</f>
        <v>Hide</v>
      </c>
    </row>
    <row r="165" spans="1:18" ht="17.25" hidden="1" x14ac:dyDescent="0.3">
      <c r="A165" t="s">
        <v>27</v>
      </c>
      <c r="B165" t="str">
        <f t="shared" ref="B165" si="342">IF($G166="","Hide","Show")</f>
        <v>Hide</v>
      </c>
      <c r="C165" t="str">
        <f>"""Ceres4"",""TCP-LIVE"",""14012281"",""1"",""NONDAIRY"""</f>
        <v>"Ceres4","TCP-LIVE","14012281","1","NONDAIRY"</v>
      </c>
      <c r="D165" t="s">
        <v>47</v>
      </c>
      <c r="E165" s="9" t="s">
        <v>10</v>
      </c>
      <c r="F165" s="2"/>
      <c r="G165" s="8" t="s">
        <v>78</v>
      </c>
    </row>
    <row r="166" spans="1:18" hidden="1" x14ac:dyDescent="0.25">
      <c r="A166" t="s">
        <v>27</v>
      </c>
      <c r="B166" t="str">
        <f t="shared" ref="B166" si="343">IF($G166="","Hide","Show")</f>
        <v>Hide</v>
      </c>
      <c r="E166" s="1"/>
      <c r="F166" t="s">
        <v>28</v>
      </c>
      <c r="G166" t="s">
        <v>28</v>
      </c>
      <c r="H166" t="s">
        <v>28</v>
      </c>
      <c r="I166" s="5" t="s">
        <v>28</v>
      </c>
      <c r="J166" s="5" t="s">
        <v>28</v>
      </c>
      <c r="K166" s="5" t="s">
        <v>66</v>
      </c>
      <c r="L166">
        <f t="shared" ref="L166" si="344">IFERROR(IF(K166*J166=0,"0",K166*J166),0)</f>
        <v>0</v>
      </c>
      <c r="M166" s="5" t="s">
        <v>28</v>
      </c>
      <c r="N166" t="e">
        <f t="shared" ref="N166" si="345">IF(M166*J166=0,"0",M166*J166)</f>
        <v>#VALUE!</v>
      </c>
      <c r="O166" s="5" t="s">
        <v>28</v>
      </c>
      <c r="P166" s="5" t="s">
        <v>28</v>
      </c>
      <c r="Q166" s="5" t="e">
        <f t="shared" ref="Q166" si="346">P166*O166</f>
        <v>#VALUE!</v>
      </c>
      <c r="R166" s="6" t="str">
        <f t="shared" ref="R166" si="347">IFERROR(Q166+N166+L166,"")</f>
        <v/>
      </c>
    </row>
    <row r="167" spans="1:18" hidden="1" x14ac:dyDescent="0.25">
      <c r="A167" t="s">
        <v>27</v>
      </c>
      <c r="B167" t="str">
        <f t="shared" ref="B167" si="348">IF($G166="","Hide","Show")</f>
        <v>Hide</v>
      </c>
      <c r="H167" t="s">
        <v>28</v>
      </c>
    </row>
    <row r="168" spans="1:18" hidden="1" x14ac:dyDescent="0.25">
      <c r="A168" t="s">
        <v>27</v>
      </c>
      <c r="B168" t="str">
        <f t="shared" ref="B168" si="349">IF($G166="","Hide","Show")</f>
        <v>Hide</v>
      </c>
    </row>
    <row r="169" spans="1:18" ht="17.25" hidden="1" x14ac:dyDescent="0.3">
      <c r="A169" t="s">
        <v>27</v>
      </c>
      <c r="B169" t="str">
        <f t="shared" ref="B169" si="350">IF($G170="","Hide","Show")</f>
        <v>Hide</v>
      </c>
      <c r="C169" t="str">
        <f>"""Ceres4"",""TCP-LIVE"",""14012281"",""1"",""NUTRITION"""</f>
        <v>"Ceres4","TCP-LIVE","14012281","1","NUTRITION"</v>
      </c>
      <c r="D169" t="s">
        <v>48</v>
      </c>
      <c r="E169" s="9" t="s">
        <v>10</v>
      </c>
      <c r="F169" s="2"/>
      <c r="G169" s="8" t="s">
        <v>79</v>
      </c>
    </row>
    <row r="170" spans="1:18" hidden="1" x14ac:dyDescent="0.25">
      <c r="A170" t="s">
        <v>27</v>
      </c>
      <c r="B170" t="str">
        <f t="shared" ref="B170" si="351">IF($G170="","Hide","Show")</f>
        <v>Hide</v>
      </c>
      <c r="E170" s="1"/>
      <c r="F170" t="s">
        <v>28</v>
      </c>
      <c r="G170" t="s">
        <v>28</v>
      </c>
      <c r="H170" t="s">
        <v>28</v>
      </c>
      <c r="I170" s="5" t="s">
        <v>28</v>
      </c>
      <c r="J170" s="5" t="s">
        <v>28</v>
      </c>
      <c r="K170" s="5" t="s">
        <v>66</v>
      </c>
      <c r="L170">
        <f t="shared" ref="L170" si="352">IFERROR(IF(K170*J170=0,"0",K170*J170),0)</f>
        <v>0</v>
      </c>
      <c r="M170" s="5" t="s">
        <v>28</v>
      </c>
      <c r="N170" t="e">
        <f t="shared" ref="N170" si="353">IF(M170*J170=0,"0",M170*J170)</f>
        <v>#VALUE!</v>
      </c>
      <c r="O170" s="5" t="s">
        <v>28</v>
      </c>
      <c r="P170" s="5" t="s">
        <v>28</v>
      </c>
      <c r="Q170" s="5" t="e">
        <f t="shared" ref="Q170" si="354">P170*O170</f>
        <v>#VALUE!</v>
      </c>
      <c r="R170" s="6" t="str">
        <f t="shared" ref="R170" si="355">IFERROR(Q170+N170+L170,"")</f>
        <v/>
      </c>
    </row>
    <row r="171" spans="1:18" hidden="1" x14ac:dyDescent="0.25">
      <c r="A171" t="s">
        <v>27</v>
      </c>
      <c r="B171" t="str">
        <f t="shared" ref="B171" si="356">IF($G170="","Hide","Show")</f>
        <v>Hide</v>
      </c>
      <c r="H171" t="s">
        <v>28</v>
      </c>
    </row>
    <row r="172" spans="1:18" hidden="1" x14ac:dyDescent="0.25">
      <c r="A172" t="s">
        <v>27</v>
      </c>
      <c r="B172" t="str">
        <f t="shared" ref="B172" si="357">IF($G170="","Hide","Show")</f>
        <v>Hide</v>
      </c>
    </row>
    <row r="173" spans="1:18" ht="17.25" hidden="1" x14ac:dyDescent="0.3">
      <c r="A173" t="s">
        <v>27</v>
      </c>
      <c r="B173" t="str">
        <f t="shared" ref="B173" si="358">IF($G174="","Hide","Show")</f>
        <v>Hide</v>
      </c>
      <c r="C173" t="str">
        <f>"""Ceres4"",""TCP-LIVE"",""14012281"",""1"",""OTC"""</f>
        <v>"Ceres4","TCP-LIVE","14012281","1","OTC"</v>
      </c>
      <c r="D173" t="s">
        <v>49</v>
      </c>
      <c r="E173" s="9" t="s">
        <v>10</v>
      </c>
      <c r="F173" s="2"/>
      <c r="G173" s="8" t="s">
        <v>80</v>
      </c>
    </row>
    <row r="174" spans="1:18" hidden="1" x14ac:dyDescent="0.25">
      <c r="A174" t="s">
        <v>27</v>
      </c>
      <c r="B174" t="str">
        <f t="shared" ref="B174" si="359">IF($G174="","Hide","Show")</f>
        <v>Hide</v>
      </c>
      <c r="E174" s="1"/>
      <c r="F174" t="s">
        <v>28</v>
      </c>
      <c r="G174" t="s">
        <v>28</v>
      </c>
      <c r="H174" t="s">
        <v>28</v>
      </c>
      <c r="I174" s="5" t="s">
        <v>28</v>
      </c>
      <c r="J174" s="5" t="s">
        <v>28</v>
      </c>
      <c r="K174" s="5" t="s">
        <v>66</v>
      </c>
      <c r="L174">
        <f t="shared" ref="L174" si="360">IFERROR(IF(K174*J174=0,"0",K174*J174),0)</f>
        <v>0</v>
      </c>
      <c r="M174" s="5" t="s">
        <v>28</v>
      </c>
      <c r="N174" t="e">
        <f t="shared" ref="N174" si="361">IF(M174*J174=0,"0",M174*J174)</f>
        <v>#VALUE!</v>
      </c>
      <c r="O174" s="5" t="s">
        <v>28</v>
      </c>
      <c r="P174" s="5" t="s">
        <v>28</v>
      </c>
      <c r="Q174" s="5" t="e">
        <f t="shared" ref="Q174" si="362">P174*O174</f>
        <v>#VALUE!</v>
      </c>
      <c r="R174" s="6" t="str">
        <f t="shared" ref="R174" si="363">IFERROR(Q174+N174+L174,"")</f>
        <v/>
      </c>
    </row>
    <row r="175" spans="1:18" hidden="1" x14ac:dyDescent="0.25">
      <c r="A175" t="s">
        <v>27</v>
      </c>
      <c r="B175" t="str">
        <f t="shared" ref="B175" si="364">IF($G174="","Hide","Show")</f>
        <v>Hide</v>
      </c>
      <c r="H175" t="s">
        <v>28</v>
      </c>
    </row>
    <row r="176" spans="1:18" hidden="1" x14ac:dyDescent="0.25">
      <c r="A176" t="s">
        <v>27</v>
      </c>
      <c r="B176" t="str">
        <f t="shared" ref="B176" si="365">IF($G174="","Hide","Show")</f>
        <v>Hide</v>
      </c>
    </row>
    <row r="177" spans="1:18" ht="17.25" x14ac:dyDescent="0.3">
      <c r="A177" t="s">
        <v>27</v>
      </c>
      <c r="B177" t="str">
        <f t="shared" ref="B177" si="366">IF($G178="","Hide","Show")</f>
        <v>Show</v>
      </c>
      <c r="C177" t="str">
        <f>"""Ceres4"",""TCP-LIVE"",""14012281"",""1"",""PASTA"""</f>
        <v>"Ceres4","TCP-LIVE","14012281","1","PASTA"</v>
      </c>
      <c r="D177" t="s">
        <v>50</v>
      </c>
      <c r="E177" s="9" t="s">
        <v>10</v>
      </c>
      <c r="F177" s="2"/>
      <c r="G177" s="8" t="s">
        <v>81</v>
      </c>
    </row>
    <row r="178" spans="1:18" x14ac:dyDescent="0.25">
      <c r="A178" t="s">
        <v>27</v>
      </c>
      <c r="B178" t="str">
        <f t="shared" ref="B178:B182" si="367">IF($G178="","Hide","Show")</f>
        <v>Show</v>
      </c>
      <c r="E178" s="1"/>
      <c r="F178" t="s">
        <v>113</v>
      </c>
      <c r="G178" t="s">
        <v>82</v>
      </c>
      <c r="H178" t="s">
        <v>99</v>
      </c>
      <c r="I178" s="5" t="s">
        <v>93</v>
      </c>
      <c r="J178" s="5">
        <v>14</v>
      </c>
      <c r="K178" s="5">
        <v>0</v>
      </c>
      <c r="L178" t="str">
        <f t="shared" ref="L178" si="368">IFERROR(IF(K178*J178=0,"0",K178*J178),0)</f>
        <v>0</v>
      </c>
      <c r="M178" s="5">
        <v>0</v>
      </c>
      <c r="N178" t="str">
        <f t="shared" ref="N178" si="369">IF(M178*J178=0,"0",M178*J178)</f>
        <v>0</v>
      </c>
      <c r="O178" s="5">
        <v>1.2</v>
      </c>
      <c r="P178" s="5">
        <v>9.2200000000000006</v>
      </c>
      <c r="Q178" s="5">
        <f t="shared" ref="Q178" si="370">P178*O178</f>
        <v>11.064</v>
      </c>
      <c r="R178" s="6">
        <f t="shared" ref="R178" si="371">IFERROR(Q178+N178+L178,"")</f>
        <v>11.064</v>
      </c>
    </row>
    <row r="179" spans="1:18" x14ac:dyDescent="0.25">
      <c r="A179" t="s">
        <v>27</v>
      </c>
      <c r="B179" t="str">
        <f t="shared" ref="B179" si="372">IF($G178="","Hide","Show")</f>
        <v>Show</v>
      </c>
      <c r="H179" t="s">
        <v>100</v>
      </c>
    </row>
    <row r="180" spans="1:18" x14ac:dyDescent="0.25">
      <c r="A180" t="s">
        <v>27</v>
      </c>
      <c r="B180" t="str">
        <f t="shared" si="367"/>
        <v>Show</v>
      </c>
      <c r="E180" s="1"/>
      <c r="F180" t="str">
        <f>"""Ceres4"",""TCP-LIVE"",""27"",""1"",""P650001"""</f>
        <v>"Ceres4","TCP-LIVE","27","1","P650001"</v>
      </c>
      <c r="G180" t="s">
        <v>83</v>
      </c>
      <c r="H180" t="s">
        <v>101</v>
      </c>
      <c r="I180" s="5" t="s">
        <v>93</v>
      </c>
      <c r="J180" s="5">
        <v>9</v>
      </c>
      <c r="K180" s="5">
        <v>0</v>
      </c>
      <c r="L180" t="str">
        <f t="shared" ref="L180" si="373">IFERROR(IF(K180*J180=0,"0",K180*J180),0)</f>
        <v>0</v>
      </c>
      <c r="M180" s="5">
        <v>0</v>
      </c>
      <c r="N180" t="str">
        <f t="shared" ref="N180" si="374">IF(M180*J180=0,"0",M180*J180)</f>
        <v>0</v>
      </c>
      <c r="O180" s="5">
        <v>1.2</v>
      </c>
      <c r="P180" s="5">
        <v>9.99</v>
      </c>
      <c r="Q180" s="5">
        <f t="shared" ref="Q180" si="375">P180*O180</f>
        <v>11.988</v>
      </c>
      <c r="R180" s="6">
        <f t="shared" ref="R180" si="376">IFERROR(Q180+N180+L180,"")</f>
        <v>11.988</v>
      </c>
    </row>
    <row r="181" spans="1:18" x14ac:dyDescent="0.25">
      <c r="A181" t="s">
        <v>27</v>
      </c>
      <c r="B181" t="str">
        <f t="shared" ref="B181" si="377">IF($G180="","Hide","Show")</f>
        <v>Show</v>
      </c>
      <c r="H181" t="s">
        <v>102</v>
      </c>
    </row>
    <row r="182" spans="1:18" x14ac:dyDescent="0.25">
      <c r="A182" t="s">
        <v>27</v>
      </c>
      <c r="B182" t="str">
        <f t="shared" si="367"/>
        <v>Show</v>
      </c>
      <c r="E182" s="1"/>
      <c r="F182" t="str">
        <f>"""Ceres4"",""TCP-LIVE"",""27"",""1"",""P650004"""</f>
        <v>"Ceres4","TCP-LIVE","27","1","P650004"</v>
      </c>
      <c r="G182" t="s">
        <v>84</v>
      </c>
      <c r="H182" t="s">
        <v>103</v>
      </c>
      <c r="I182" s="5" t="s">
        <v>93</v>
      </c>
      <c r="J182" s="5">
        <v>21</v>
      </c>
      <c r="K182" s="5">
        <v>0</v>
      </c>
      <c r="L182" t="str">
        <f t="shared" ref="L182" si="378">IFERROR(IF(K182*J182=0,"0",K182*J182),0)</f>
        <v>0</v>
      </c>
      <c r="M182" s="5">
        <v>0</v>
      </c>
      <c r="N182" t="str">
        <f t="shared" ref="N182" si="379">IF(M182*J182=0,"0",M182*J182)</f>
        <v>0</v>
      </c>
      <c r="O182" s="5">
        <v>1.2</v>
      </c>
      <c r="P182" s="5">
        <v>13.49</v>
      </c>
      <c r="Q182" s="5">
        <f t="shared" ref="Q182" si="380">P182*O182</f>
        <v>16.187999999999999</v>
      </c>
      <c r="R182" s="6">
        <f t="shared" ref="R182" si="381">IFERROR(Q182+N182+L182,"")</f>
        <v>16.187999999999999</v>
      </c>
    </row>
    <row r="183" spans="1:18" x14ac:dyDescent="0.25">
      <c r="A183" t="s">
        <v>27</v>
      </c>
      <c r="B183" t="str">
        <f t="shared" ref="B183" si="382">IF($G182="","Hide","Show")</f>
        <v>Show</v>
      </c>
      <c r="H183" t="s">
        <v>104</v>
      </c>
    </row>
    <row r="184" spans="1:18" x14ac:dyDescent="0.25">
      <c r="A184" t="s">
        <v>27</v>
      </c>
      <c r="B184" t="str">
        <f t="shared" ref="B184" si="383">IF($G178="","Hide","Show")</f>
        <v>Show</v>
      </c>
    </row>
    <row r="185" spans="1:18" ht="17.25" hidden="1" x14ac:dyDescent="0.3">
      <c r="A185" t="s">
        <v>27</v>
      </c>
      <c r="B185" t="str">
        <f t="shared" ref="B185" si="384">IF($G186="","Hide","Show")</f>
        <v>Hide</v>
      </c>
      <c r="C185" t="str">
        <f>"""Ceres4"",""TCP-LIVE"",""14012281"",""1"",""PASTRY"""</f>
        <v>"Ceres4","TCP-LIVE","14012281","1","PASTRY"</v>
      </c>
      <c r="D185" t="s">
        <v>51</v>
      </c>
      <c r="E185" s="9" t="s">
        <v>10</v>
      </c>
      <c r="F185" s="2"/>
      <c r="G185" s="8" t="s">
        <v>85</v>
      </c>
    </row>
    <row r="186" spans="1:18" hidden="1" x14ac:dyDescent="0.25">
      <c r="A186" t="s">
        <v>27</v>
      </c>
      <c r="B186" t="str">
        <f t="shared" ref="B186" si="385">IF($G186="","Hide","Show")</f>
        <v>Hide</v>
      </c>
      <c r="E186" s="1"/>
      <c r="F186" t="s">
        <v>28</v>
      </c>
      <c r="G186" t="s">
        <v>28</v>
      </c>
      <c r="H186" t="s">
        <v>28</v>
      </c>
      <c r="I186" s="5" t="s">
        <v>28</v>
      </c>
      <c r="J186" s="5" t="s">
        <v>28</v>
      </c>
      <c r="K186" s="5" t="s">
        <v>66</v>
      </c>
      <c r="L186">
        <f t="shared" ref="L186" si="386">IFERROR(IF(K186*J186=0,"0",K186*J186),0)</f>
        <v>0</v>
      </c>
      <c r="M186" s="5" t="s">
        <v>28</v>
      </c>
      <c r="N186" t="e">
        <f t="shared" ref="N186" si="387">IF(M186*J186=0,"0",M186*J186)</f>
        <v>#VALUE!</v>
      </c>
      <c r="O186" s="5" t="s">
        <v>28</v>
      </c>
      <c r="P186" s="5" t="s">
        <v>28</v>
      </c>
      <c r="Q186" s="5" t="e">
        <f t="shared" ref="Q186" si="388">P186*O186</f>
        <v>#VALUE!</v>
      </c>
      <c r="R186" s="6" t="str">
        <f t="shared" ref="R186" si="389">IFERROR(Q186+N186+L186,"")</f>
        <v/>
      </c>
    </row>
    <row r="187" spans="1:18" hidden="1" x14ac:dyDescent="0.25">
      <c r="A187" t="s">
        <v>27</v>
      </c>
      <c r="B187" t="str">
        <f t="shared" ref="B187" si="390">IF($G186="","Hide","Show")</f>
        <v>Hide</v>
      </c>
      <c r="H187" t="s">
        <v>28</v>
      </c>
    </row>
    <row r="188" spans="1:18" hidden="1" x14ac:dyDescent="0.25">
      <c r="A188" t="s">
        <v>27</v>
      </c>
      <c r="B188" t="str">
        <f t="shared" ref="B188" si="391">IF($G186="","Hide","Show")</f>
        <v>Hide</v>
      </c>
    </row>
    <row r="189" spans="1:18" ht="17.25" hidden="1" x14ac:dyDescent="0.3">
      <c r="A189" t="s">
        <v>27</v>
      </c>
      <c r="B189" t="str">
        <f t="shared" ref="B189" si="392">IF($G190="","Hide","Show")</f>
        <v>Hide</v>
      </c>
      <c r="C189" t="str">
        <f>"""Ceres4"",""TCP-LIVE"",""14012281"",""1"",""PER PAP"""</f>
        <v>"Ceres4","TCP-LIVE","14012281","1","PER PAP"</v>
      </c>
      <c r="D189" t="s">
        <v>52</v>
      </c>
      <c r="E189" s="9" t="s">
        <v>10</v>
      </c>
      <c r="F189" s="2"/>
      <c r="G189" s="8" t="s">
        <v>86</v>
      </c>
    </row>
    <row r="190" spans="1:18" hidden="1" x14ac:dyDescent="0.25">
      <c r="A190" t="s">
        <v>27</v>
      </c>
      <c r="B190" t="str">
        <f t="shared" ref="B190" si="393">IF($G190="","Hide","Show")</f>
        <v>Hide</v>
      </c>
      <c r="E190" s="1"/>
      <c r="F190" t="s">
        <v>28</v>
      </c>
      <c r="G190" t="s">
        <v>28</v>
      </c>
      <c r="H190" t="s">
        <v>28</v>
      </c>
      <c r="I190" s="5" t="s">
        <v>28</v>
      </c>
      <c r="J190" s="5" t="s">
        <v>28</v>
      </c>
      <c r="K190" s="5" t="s">
        <v>66</v>
      </c>
      <c r="L190">
        <f t="shared" ref="L190" si="394">IFERROR(IF(K190*J190=0,"0",K190*J190),0)</f>
        <v>0</v>
      </c>
      <c r="M190" s="5" t="s">
        <v>28</v>
      </c>
      <c r="N190" t="e">
        <f t="shared" ref="N190" si="395">IF(M190*J190=0,"0",M190*J190)</f>
        <v>#VALUE!</v>
      </c>
      <c r="O190" s="5" t="s">
        <v>28</v>
      </c>
      <c r="P190" s="5" t="s">
        <v>28</v>
      </c>
      <c r="Q190" s="5" t="e">
        <f t="shared" ref="Q190" si="396">P190*O190</f>
        <v>#VALUE!</v>
      </c>
      <c r="R190" s="6" t="str">
        <f t="shared" ref="R190" si="397">IFERROR(Q190+N190+L190,"")</f>
        <v/>
      </c>
    </row>
    <row r="191" spans="1:18" hidden="1" x14ac:dyDescent="0.25">
      <c r="A191" t="s">
        <v>27</v>
      </c>
      <c r="B191" t="str">
        <f t="shared" ref="B191" si="398">IF($G190="","Hide","Show")</f>
        <v>Hide</v>
      </c>
      <c r="H191" t="s">
        <v>28</v>
      </c>
    </row>
    <row r="192" spans="1:18" hidden="1" x14ac:dyDescent="0.25">
      <c r="A192" t="s">
        <v>27</v>
      </c>
      <c r="B192" t="str">
        <f t="shared" ref="B192" si="399">IF($G190="","Hide","Show")</f>
        <v>Hide</v>
      </c>
    </row>
    <row r="193" spans="1:18" ht="17.25" x14ac:dyDescent="0.3">
      <c r="A193" t="s">
        <v>27</v>
      </c>
      <c r="B193" t="str">
        <f t="shared" ref="B193" si="400">IF($G194="","Hide","Show")</f>
        <v>Show</v>
      </c>
      <c r="C193" t="str">
        <f>"""Ceres4"",""TCP-LIVE"",""14012281"",""1"",""PERSONAL"""</f>
        <v>"Ceres4","TCP-LIVE","14012281","1","PERSONAL"</v>
      </c>
      <c r="D193" t="s">
        <v>53</v>
      </c>
      <c r="E193" s="9" t="s">
        <v>10</v>
      </c>
      <c r="F193" s="2"/>
      <c r="G193" s="8" t="s">
        <v>87</v>
      </c>
    </row>
    <row r="194" spans="1:18" x14ac:dyDescent="0.25">
      <c r="A194" t="s">
        <v>27</v>
      </c>
      <c r="B194" t="str">
        <f t="shared" ref="B194:B196" si="401">IF($G194="","Hide","Show")</f>
        <v>Show</v>
      </c>
      <c r="E194" s="1"/>
      <c r="F194" t="s">
        <v>110</v>
      </c>
      <c r="G194" t="s">
        <v>88</v>
      </c>
      <c r="H194" t="s">
        <v>105</v>
      </c>
      <c r="I194" s="5" t="s">
        <v>93</v>
      </c>
      <c r="J194" s="5">
        <v>12</v>
      </c>
      <c r="K194" s="5">
        <v>0</v>
      </c>
      <c r="L194" t="str">
        <f t="shared" ref="L194" si="402">IFERROR(IF(K194*J194=0,"0",K194*J194),0)</f>
        <v>0</v>
      </c>
      <c r="M194" s="5">
        <v>0</v>
      </c>
      <c r="N194" t="str">
        <f t="shared" ref="N194" si="403">IF(M194*J194=0,"0",M194*J194)</f>
        <v>0</v>
      </c>
      <c r="O194" s="5">
        <v>1.2</v>
      </c>
      <c r="P194" s="5">
        <v>9.0500000000000007</v>
      </c>
      <c r="Q194" s="5">
        <f t="shared" ref="Q194" si="404">P194*O194</f>
        <v>10.860000000000001</v>
      </c>
      <c r="R194" s="6">
        <f t="shared" ref="R194" si="405">IFERROR(Q194+N194+L194,"")</f>
        <v>10.860000000000001</v>
      </c>
    </row>
    <row r="195" spans="1:18" x14ac:dyDescent="0.25">
      <c r="A195" t="s">
        <v>27</v>
      </c>
      <c r="B195" t="str">
        <f t="shared" ref="B195" si="406">IF($G194="","Hide","Show")</f>
        <v>Show</v>
      </c>
      <c r="H195" t="s">
        <v>106</v>
      </c>
    </row>
    <row r="196" spans="1:18" x14ac:dyDescent="0.25">
      <c r="A196" t="s">
        <v>27</v>
      </c>
      <c r="B196" t="str">
        <f t="shared" si="401"/>
        <v>Show</v>
      </c>
      <c r="E196" s="1"/>
      <c r="F196" t="str">
        <f>"""Ceres4"",""TCP-LIVE"",""27"",""1"",""P997001"""</f>
        <v>"Ceres4","TCP-LIVE","27","1","P997001"</v>
      </c>
      <c r="G196" t="s">
        <v>89</v>
      </c>
      <c r="H196" t="s">
        <v>107</v>
      </c>
      <c r="I196" s="5" t="s">
        <v>93</v>
      </c>
      <c r="J196" s="5">
        <v>9</v>
      </c>
      <c r="K196" s="5">
        <v>0</v>
      </c>
      <c r="L196" t="str">
        <f t="shared" ref="L196" si="407">IFERROR(IF(K196*J196=0,"0",K196*J196),0)</f>
        <v>0</v>
      </c>
      <c r="M196" s="5">
        <v>0</v>
      </c>
      <c r="N196" t="str">
        <f t="shared" ref="N196" si="408">IF(M196*J196=0,"0",M196*J196)</f>
        <v>0</v>
      </c>
      <c r="O196" s="5">
        <v>1.1499999999999999</v>
      </c>
      <c r="P196" s="5">
        <v>28</v>
      </c>
      <c r="Q196" s="5">
        <f t="shared" ref="Q196" si="409">P196*O196</f>
        <v>32.199999999999996</v>
      </c>
      <c r="R196" s="6">
        <f t="shared" ref="R196" si="410">IFERROR(Q196+N196+L196,"")</f>
        <v>32.199999999999996</v>
      </c>
    </row>
    <row r="197" spans="1:18" x14ac:dyDescent="0.25">
      <c r="A197" t="s">
        <v>27</v>
      </c>
      <c r="B197" t="str">
        <f t="shared" ref="B197" si="411">IF($G196="","Hide","Show")</f>
        <v>Show</v>
      </c>
      <c r="H197" t="s">
        <v>108</v>
      </c>
    </row>
    <row r="198" spans="1:18" x14ac:dyDescent="0.25">
      <c r="A198" t="s">
        <v>27</v>
      </c>
      <c r="B198" t="str">
        <f t="shared" ref="B198" si="412">IF($G194="","Hide","Show")</f>
        <v>Show</v>
      </c>
    </row>
    <row r="199" spans="1:18" ht="17.25" hidden="1" x14ac:dyDescent="0.3">
      <c r="A199" t="s">
        <v>27</v>
      </c>
      <c r="B199" t="str">
        <f t="shared" ref="B199" si="413">IF($G200="","Hide","Show")</f>
        <v>Hide</v>
      </c>
      <c r="C199" t="str">
        <f>"""Ceres4"",""TCP-LIVE"",""14012281"",""1"",""PET"""</f>
        <v>"Ceres4","TCP-LIVE","14012281","1","PET"</v>
      </c>
      <c r="D199" t="s">
        <v>54</v>
      </c>
      <c r="E199" s="9" t="s">
        <v>10</v>
      </c>
      <c r="F199" s="2"/>
      <c r="G199" s="8" t="s">
        <v>90</v>
      </c>
    </row>
    <row r="200" spans="1:18" hidden="1" x14ac:dyDescent="0.25">
      <c r="A200" t="s">
        <v>27</v>
      </c>
      <c r="B200" t="str">
        <f t="shared" ref="B200" si="414">IF($G200="","Hide","Show")</f>
        <v>Hide</v>
      </c>
      <c r="E200" s="1"/>
      <c r="F200" t="s">
        <v>28</v>
      </c>
      <c r="G200" t="s">
        <v>28</v>
      </c>
      <c r="H200" t="s">
        <v>28</v>
      </c>
      <c r="I200" s="5" t="s">
        <v>28</v>
      </c>
      <c r="J200" s="5" t="s">
        <v>28</v>
      </c>
      <c r="K200" s="5" t="s">
        <v>66</v>
      </c>
      <c r="L200">
        <f t="shared" ref="L200" si="415">IFERROR(IF(K200*J200=0,"0",K200*J200),0)</f>
        <v>0</v>
      </c>
      <c r="M200" s="5" t="s">
        <v>28</v>
      </c>
      <c r="N200" t="e">
        <f t="shared" ref="N200" si="416">IF(M200*J200=0,"0",M200*J200)</f>
        <v>#VALUE!</v>
      </c>
      <c r="O200" s="5" t="s">
        <v>28</v>
      </c>
      <c r="P200" s="5" t="s">
        <v>28</v>
      </c>
      <c r="Q200" s="5" t="e">
        <f t="shared" ref="Q200" si="417">P200*O200</f>
        <v>#VALUE!</v>
      </c>
      <c r="R200" s="6" t="str">
        <f t="shared" ref="R200" si="418">IFERROR(Q200+N200+L200,"")</f>
        <v/>
      </c>
    </row>
    <row r="201" spans="1:18" hidden="1" x14ac:dyDescent="0.25">
      <c r="A201" t="s">
        <v>27</v>
      </c>
      <c r="B201" t="str">
        <f t="shared" ref="B201" si="419">IF($G200="","Hide","Show")</f>
        <v>Hide</v>
      </c>
      <c r="H201" t="s">
        <v>28</v>
      </c>
    </row>
    <row r="202" spans="1:18" hidden="1" x14ac:dyDescent="0.25">
      <c r="A202" t="s">
        <v>27</v>
      </c>
      <c r="B202" t="str">
        <f t="shared" ref="B202" si="420">IF($G200="","Hide","Show")</f>
        <v>Hide</v>
      </c>
    </row>
    <row r="203" spans="1:18" ht="17.25" hidden="1" x14ac:dyDescent="0.3">
      <c r="A203" t="s">
        <v>27</v>
      </c>
      <c r="B203" t="str">
        <f t="shared" ref="B203" si="421">IF($G204="","Hide","Show")</f>
        <v>Hide</v>
      </c>
      <c r="C203" t="str">
        <f>"""Ceres4"",""TCP-LIVE"",""14012281"",""1"",""PRODUCE"""</f>
        <v>"Ceres4","TCP-LIVE","14012281","1","PRODUCE"</v>
      </c>
      <c r="D203" t="s">
        <v>55</v>
      </c>
      <c r="E203" s="9" t="s">
        <v>10</v>
      </c>
      <c r="F203" s="2"/>
      <c r="G203" s="8" t="s">
        <v>91</v>
      </c>
    </row>
    <row r="204" spans="1:18" hidden="1" x14ac:dyDescent="0.25">
      <c r="A204" t="s">
        <v>27</v>
      </c>
      <c r="B204" t="str">
        <f t="shared" ref="B204" si="422">IF($G204="","Hide","Show")</f>
        <v>Hide</v>
      </c>
      <c r="E204" s="1"/>
      <c r="F204" t="s">
        <v>28</v>
      </c>
      <c r="G204" t="s">
        <v>28</v>
      </c>
      <c r="H204" t="s">
        <v>28</v>
      </c>
      <c r="I204" s="5" t="s">
        <v>28</v>
      </c>
      <c r="J204" s="5" t="s">
        <v>28</v>
      </c>
      <c r="K204" s="5" t="s">
        <v>66</v>
      </c>
      <c r="L204">
        <f t="shared" ref="L204" si="423">IFERROR(IF(K204*J204=0,"0",K204*J204),0)</f>
        <v>0</v>
      </c>
      <c r="M204" s="5" t="s">
        <v>28</v>
      </c>
      <c r="N204" t="e">
        <f t="shared" ref="N204" si="424">IF(M204*J204=0,"0",M204*J204)</f>
        <v>#VALUE!</v>
      </c>
      <c r="O204" s="5" t="s">
        <v>28</v>
      </c>
      <c r="P204" s="5" t="s">
        <v>28</v>
      </c>
      <c r="Q204" s="5" t="e">
        <f t="shared" ref="Q204" si="425">P204*O204</f>
        <v>#VALUE!</v>
      </c>
      <c r="R204" s="6" t="str">
        <f t="shared" ref="R204" si="426">IFERROR(Q204+N204+L204,"")</f>
        <v/>
      </c>
    </row>
    <row r="205" spans="1:18" hidden="1" x14ac:dyDescent="0.25">
      <c r="A205" t="s">
        <v>27</v>
      </c>
      <c r="B205" t="str">
        <f t="shared" ref="B205" si="427">IF($G204="","Hide","Show")</f>
        <v>Hide</v>
      </c>
      <c r="H205" t="s">
        <v>28</v>
      </c>
    </row>
    <row r="206" spans="1:18" hidden="1" x14ac:dyDescent="0.25">
      <c r="A206" t="s">
        <v>27</v>
      </c>
      <c r="B206" t="str">
        <f t="shared" ref="B206" si="428">IF($G204="","Hide","Show")</f>
        <v>Hide</v>
      </c>
    </row>
    <row r="207" spans="1:18" ht="17.25" x14ac:dyDescent="0.3">
      <c r="A207" t="s">
        <v>27</v>
      </c>
      <c r="B207" t="str">
        <f t="shared" ref="B207" si="429">IF($G208="","Hide","Show")</f>
        <v>Show</v>
      </c>
      <c r="C207" t="str">
        <f>"""Ceres4"",""TCP-LIVE"",""14012281"",""1"",""PRO-MEAT"""</f>
        <v>"Ceres4","TCP-LIVE","14012281","1","PRO-MEAT"</v>
      </c>
      <c r="D207" t="s">
        <v>56</v>
      </c>
      <c r="E207" s="9" t="s">
        <v>10</v>
      </c>
      <c r="F207" s="2"/>
      <c r="G207" s="8" t="s">
        <v>92</v>
      </c>
    </row>
    <row r="208" spans="1:18" x14ac:dyDescent="0.25">
      <c r="A208" t="s">
        <v>27</v>
      </c>
      <c r="B208" t="str">
        <f t="shared" ref="B208:B249" si="430">IF($G208="","Hide","Show")</f>
        <v>Show</v>
      </c>
      <c r="E208" s="1"/>
      <c r="F208" t="s">
        <v>109</v>
      </c>
      <c r="G208" t="str">
        <f>"400094"</f>
        <v>400094</v>
      </c>
      <c r="H208" t="str">
        <f>"Protein -Turkey-Franks"</f>
        <v>Protein -Turkey-Franks</v>
      </c>
      <c r="I208" s="5" t="str">
        <f>"CS"</f>
        <v>CS</v>
      </c>
      <c r="J208" s="5">
        <v>11</v>
      </c>
      <c r="K208" s="5">
        <v>0.19</v>
      </c>
      <c r="L208">
        <f t="shared" ref="L208" si="431">IFERROR(IF(K208*J208=0,"0",K208*J208),0)</f>
        <v>2.09</v>
      </c>
      <c r="M208" s="5">
        <v>0</v>
      </c>
      <c r="N208" t="str">
        <f t="shared" ref="N208" si="432">IF(M208*J208=0,"0",M208*J208)</f>
        <v>0</v>
      </c>
      <c r="O208" s="5">
        <v>1</v>
      </c>
      <c r="P208" s="5">
        <v>0</v>
      </c>
      <c r="Q208" s="5">
        <f t="shared" ref="Q208" si="433">P208*O208</f>
        <v>0</v>
      </c>
      <c r="R208" s="6">
        <f t="shared" ref="R208" si="434">IFERROR(Q208+N208+L208,"")</f>
        <v>2.09</v>
      </c>
    </row>
    <row r="209" spans="1:18" x14ac:dyDescent="0.25">
      <c r="A209" t="s">
        <v>27</v>
      </c>
      <c r="B209" t="str">
        <f t="shared" ref="B209" si="435">IF($G208="","Hide","Show")</f>
        <v>Show</v>
      </c>
      <c r="H209" t="str">
        <f>"12-15 oz"</f>
        <v>12-15 oz</v>
      </c>
    </row>
    <row r="210" spans="1:18" x14ac:dyDescent="0.25">
      <c r="A210" t="s">
        <v>27</v>
      </c>
      <c r="B210" t="str">
        <f t="shared" si="430"/>
        <v>Show</v>
      </c>
      <c r="E210" s="1"/>
      <c r="F210" t="str">
        <f>"""Ceres4"",""TCP-LIVE"",""27"",""1"",""400280"""</f>
        <v>"Ceres4","TCP-LIVE","27","1","400280"</v>
      </c>
      <c r="G210" t="str">
        <f>"400280"</f>
        <v>400280</v>
      </c>
      <c r="H210" t="str">
        <f>"Protein - Center Cut Ribs"</f>
        <v>Protein - Center Cut Ribs</v>
      </c>
      <c r="I210" s="5" t="str">
        <f>"CS"</f>
        <v>CS</v>
      </c>
      <c r="J210" s="5">
        <v>30</v>
      </c>
      <c r="K210" s="5">
        <v>0.19</v>
      </c>
      <c r="L210">
        <f t="shared" ref="L210" si="436">IFERROR(IF(K210*J210=0,"0",K210*J210),0)</f>
        <v>5.7</v>
      </c>
      <c r="M210" s="5">
        <v>0</v>
      </c>
      <c r="N210" t="str">
        <f t="shared" ref="N210" si="437">IF(M210*J210=0,"0",M210*J210)</f>
        <v>0</v>
      </c>
      <c r="O210" s="5">
        <v>1</v>
      </c>
      <c r="P210" s="5">
        <v>0</v>
      </c>
      <c r="Q210" s="5">
        <f t="shared" ref="Q210" si="438">P210*O210</f>
        <v>0</v>
      </c>
      <c r="R210" s="6">
        <f t="shared" ref="R210" si="439">IFERROR(Q210+N210+L210,"")</f>
        <v>5.7</v>
      </c>
    </row>
    <row r="211" spans="1:18" x14ac:dyDescent="0.25">
      <c r="A211" t="s">
        <v>27</v>
      </c>
      <c r="B211" t="str">
        <f t="shared" ref="B211" si="440">IF($G210="","Hide","Show")</f>
        <v>Show</v>
      </c>
      <c r="H211" t="str">
        <f>"Bulk 30 lbs"</f>
        <v>Bulk 30 lbs</v>
      </c>
    </row>
    <row r="212" spans="1:18" x14ac:dyDescent="0.25">
      <c r="A212" t="s">
        <v>27</v>
      </c>
      <c r="B212" t="str">
        <f t="shared" si="430"/>
        <v>Show</v>
      </c>
      <c r="E212" s="1"/>
      <c r="F212" t="str">
        <f>"""Ceres4"",""TCP-LIVE"",""27"",""1"",""420221"""</f>
        <v>"Ceres4","TCP-LIVE","27","1","420221"</v>
      </c>
      <c r="G212" t="str">
        <f>"420221"</f>
        <v>420221</v>
      </c>
      <c r="H212" t="str">
        <f>"Protein -  Sausage Links "</f>
        <v xml:space="preserve">Protein -  Sausage Links </v>
      </c>
      <c r="I212" s="5" t="str">
        <f>"CS"</f>
        <v>CS</v>
      </c>
      <c r="J212" s="5">
        <v>5</v>
      </c>
      <c r="K212" s="5">
        <v>0.19</v>
      </c>
      <c r="L212">
        <f t="shared" ref="L212" si="441">IFERROR(IF(K212*J212=0,"0",K212*J212),0)</f>
        <v>0.95</v>
      </c>
      <c r="M212" s="5">
        <v>0</v>
      </c>
      <c r="N212" t="str">
        <f t="shared" ref="N212" si="442">IF(M212*J212=0,"0",M212*J212)</f>
        <v>0</v>
      </c>
      <c r="O212" s="5">
        <v>1</v>
      </c>
      <c r="P212" s="5">
        <v>0</v>
      </c>
      <c r="Q212" s="5">
        <f t="shared" ref="Q212" si="443">P212*O212</f>
        <v>0</v>
      </c>
      <c r="R212" s="6">
        <f t="shared" ref="R212" si="444">IFERROR(Q212+N212+L212,"")</f>
        <v>0.95</v>
      </c>
    </row>
    <row r="213" spans="1:18" x14ac:dyDescent="0.25">
      <c r="A213" t="s">
        <v>27</v>
      </c>
      <c r="B213" t="str">
        <f t="shared" ref="B213" si="445">IF($G212="","Hide","Show")</f>
        <v>Show</v>
      </c>
      <c r="H213" t="str">
        <f>H224</f>
        <v xml:space="preserve">1-1 lb </v>
      </c>
    </row>
    <row r="214" spans="1:18" x14ac:dyDescent="0.25">
      <c r="H214" t="s">
        <v>178</v>
      </c>
    </row>
    <row r="215" spans="1:18" x14ac:dyDescent="0.25">
      <c r="A215" t="s">
        <v>27</v>
      </c>
      <c r="B215" t="str">
        <f t="shared" si="430"/>
        <v>Show</v>
      </c>
      <c r="E215" s="1"/>
      <c r="F215" t="str">
        <f>"""Ceres4"",""TCP-LIVE"",""27"",""1"",""P400007"""</f>
        <v>"Ceres4","TCP-LIVE","27","1","P400007"</v>
      </c>
      <c r="G215" t="str">
        <f>"P400007"</f>
        <v>P400007</v>
      </c>
      <c r="H215" t="str">
        <f>"Protein - Beef Shredded Cooked"</f>
        <v>Protein - Beef Shredded Cooked</v>
      </c>
      <c r="I215" s="5" t="str">
        <f>"BAG"</f>
        <v>BAG</v>
      </c>
      <c r="J215" s="5">
        <v>5</v>
      </c>
      <c r="K215" s="5">
        <v>0</v>
      </c>
      <c r="L215" t="str">
        <f t="shared" ref="L215" si="446">IFERROR(IF(K215*J215=0,"0",K215*J215),0)</f>
        <v>0</v>
      </c>
      <c r="M215" s="5">
        <v>0</v>
      </c>
      <c r="N215" t="str">
        <f t="shared" ref="N215" si="447">IF(M215*J215=0,"0",M215*J215)</f>
        <v>0</v>
      </c>
      <c r="O215" s="5">
        <v>1</v>
      </c>
      <c r="P215" s="5">
        <v>29.944290000000002</v>
      </c>
      <c r="Q215" s="5">
        <f t="shared" ref="Q215" si="448">P215*O215</f>
        <v>29.944290000000002</v>
      </c>
      <c r="R215" s="6">
        <f t="shared" ref="R215" si="449">IFERROR(Q215+N215+L215,"")</f>
        <v>29.944290000000002</v>
      </c>
    </row>
    <row r="216" spans="1:18" x14ac:dyDescent="0.25">
      <c r="A216" t="s">
        <v>27</v>
      </c>
      <c r="B216" t="str">
        <f t="shared" ref="B216" si="450">IF($G215="","Hide","Show")</f>
        <v>Show</v>
      </c>
      <c r="H216" t="str">
        <f>"1- 5 lb "</f>
        <v xml:space="preserve">1- 5 lb </v>
      </c>
    </row>
    <row r="217" spans="1:18" x14ac:dyDescent="0.25">
      <c r="A217" t="s">
        <v>27</v>
      </c>
      <c r="B217" t="str">
        <f t="shared" si="430"/>
        <v>Show</v>
      </c>
      <c r="E217" s="1"/>
      <c r="F217" t="str">
        <f>"""Ceres4"",""TCP-LIVE"",""27"",""1"",""P400010"""</f>
        <v>"Ceres4","TCP-LIVE","27","1","P400010"</v>
      </c>
      <c r="G217" t="str">
        <f>"P400010"</f>
        <v>P400010</v>
      </c>
      <c r="H217" t="str">
        <f>"Protein - Thick Beef Patties"</f>
        <v>Protein - Thick Beef Patties</v>
      </c>
      <c r="I217" s="5" t="str">
        <f>"EA"</f>
        <v>EA</v>
      </c>
      <c r="J217" s="5">
        <v>1</v>
      </c>
      <c r="K217" s="5">
        <v>0</v>
      </c>
      <c r="L217" t="str">
        <f t="shared" ref="L217" si="451">IFERROR(IF(K217*J217=0,"0",K217*J217),0)</f>
        <v>0</v>
      </c>
      <c r="M217" s="5">
        <v>0</v>
      </c>
      <c r="N217" t="str">
        <f t="shared" ref="N217" si="452">IF(M217*J217=0,"0",M217*J217)</f>
        <v>0</v>
      </c>
      <c r="O217" s="5">
        <v>1.1000000000000001</v>
      </c>
      <c r="P217" s="5">
        <v>11.649230000000001</v>
      </c>
      <c r="Q217" s="5">
        <f t="shared" ref="Q217" si="453">P217*O217</f>
        <v>12.814153000000003</v>
      </c>
      <c r="R217" s="6">
        <f t="shared" ref="R217" si="454">IFERROR(Q217+N217+L217,"")</f>
        <v>12.814153000000003</v>
      </c>
    </row>
    <row r="218" spans="1:18" x14ac:dyDescent="0.25">
      <c r="A218" t="s">
        <v>27</v>
      </c>
      <c r="B218" t="str">
        <f t="shared" ref="B218" si="455">IF($G217="","Hide","Show")</f>
        <v>Show</v>
      </c>
      <c r="H218" t="str">
        <f>"2-4 pk "</f>
        <v xml:space="preserve">2-4 pk </v>
      </c>
    </row>
    <row r="219" spans="1:18" x14ac:dyDescent="0.25">
      <c r="A219" t="s">
        <v>27</v>
      </c>
      <c r="B219" t="str">
        <f t="shared" si="430"/>
        <v>Show</v>
      </c>
      <c r="E219" s="1"/>
      <c r="F219" t="str">
        <f>"""Ceres4"",""TCP-LIVE"",""27"",""1"",""P400012"""</f>
        <v>"Ceres4","TCP-LIVE","27","1","P400012"</v>
      </c>
      <c r="G219" t="str">
        <f>"P400012"</f>
        <v>P400012</v>
      </c>
      <c r="H219" t="str">
        <f>"Protein- Beef Ribeye "</f>
        <v xml:space="preserve">Protein- Beef Ribeye </v>
      </c>
      <c r="I219" s="5" t="str">
        <f>"EA"</f>
        <v>EA</v>
      </c>
      <c r="J219" s="5">
        <v>2</v>
      </c>
      <c r="K219" s="5">
        <v>0</v>
      </c>
      <c r="L219" t="str">
        <f t="shared" ref="L219" si="456">IFERROR(IF(K219*J219=0,"0",K219*J219),0)</f>
        <v>0</v>
      </c>
      <c r="M219" s="5">
        <v>0</v>
      </c>
      <c r="N219" t="str">
        <f t="shared" ref="N219" si="457">IF(M219*J219=0,"0",M219*J219)</f>
        <v>0</v>
      </c>
      <c r="O219" s="5">
        <v>1</v>
      </c>
      <c r="P219" s="5">
        <v>17.546220000000002</v>
      </c>
      <c r="Q219" s="5">
        <f t="shared" ref="Q219" si="458">P219*O219</f>
        <v>17.546220000000002</v>
      </c>
      <c r="R219" s="6">
        <f t="shared" ref="R219" si="459">IFERROR(Q219+N219+L219,"")</f>
        <v>17.546220000000002</v>
      </c>
    </row>
    <row r="220" spans="1:18" x14ac:dyDescent="0.25">
      <c r="A220" t="s">
        <v>27</v>
      </c>
      <c r="B220" t="str">
        <f t="shared" ref="B220" si="460">IF($G219="","Hide","Show")</f>
        <v>Show</v>
      </c>
      <c r="H220" t="str">
        <f>"1-2 lb"</f>
        <v>1-2 lb</v>
      </c>
    </row>
    <row r="221" spans="1:18" x14ac:dyDescent="0.25">
      <c r="A221" t="s">
        <v>27</v>
      </c>
      <c r="B221" t="str">
        <f t="shared" si="430"/>
        <v>Show</v>
      </c>
      <c r="E221" s="1"/>
      <c r="F221" t="str">
        <f>"""Ceres4"",""TCP-LIVE"",""27"",""1"",""P410002"""</f>
        <v>"Ceres4","TCP-LIVE","27","1","P410002"</v>
      </c>
      <c r="G221" t="str">
        <f>"P410002"</f>
        <v>P410002</v>
      </c>
      <c r="H221" t="str">
        <f>"Protein - Chicken Nuggets"</f>
        <v>Protein - Chicken Nuggets</v>
      </c>
      <c r="I221" s="5" t="str">
        <f>"BAG"</f>
        <v>BAG</v>
      </c>
      <c r="J221" s="5">
        <v>5</v>
      </c>
      <c r="K221" s="5">
        <v>0</v>
      </c>
      <c r="L221" t="str">
        <f t="shared" ref="L221" si="461">IFERROR(IF(K221*J221=0,"0",K221*J221),0)</f>
        <v>0</v>
      </c>
      <c r="M221" s="5">
        <v>0</v>
      </c>
      <c r="N221" t="str">
        <f t="shared" ref="N221" si="462">IF(M221*J221=0,"0",M221*J221)</f>
        <v>0</v>
      </c>
      <c r="O221" s="5">
        <v>1.1499999999999999</v>
      </c>
      <c r="P221" s="5">
        <v>12.217500000000001</v>
      </c>
      <c r="Q221" s="5">
        <f t="shared" ref="Q221" si="463">P221*O221</f>
        <v>14.050125</v>
      </c>
      <c r="R221" s="6">
        <f t="shared" ref="R221" si="464">IFERROR(Q221+N221+L221,"")</f>
        <v>14.050125</v>
      </c>
    </row>
    <row r="222" spans="1:18" x14ac:dyDescent="0.25">
      <c r="A222" t="s">
        <v>27</v>
      </c>
      <c r="B222" t="str">
        <f t="shared" ref="B222" si="465">IF($G221="","Hide","Show")</f>
        <v>Show</v>
      </c>
      <c r="H222" t="str">
        <f>"5 lb bag"</f>
        <v>5 lb bag</v>
      </c>
    </row>
    <row r="223" spans="1:18" x14ac:dyDescent="0.25">
      <c r="A223" t="s">
        <v>27</v>
      </c>
      <c r="B223" t="str">
        <f t="shared" si="430"/>
        <v>Show</v>
      </c>
      <c r="E223" s="1"/>
      <c r="F223" t="str">
        <f>"""Ceres4"",""TCP-LIVE"",""27"",""1"",""P420000"""</f>
        <v>"Ceres4","TCP-LIVE","27","1","P420000"</v>
      </c>
      <c r="G223" t="str">
        <f>"P420000"</f>
        <v>P420000</v>
      </c>
      <c r="H223" t="str">
        <f>"Protein-Bacon"</f>
        <v>Protein-Bacon</v>
      </c>
      <c r="I223" s="5" t="str">
        <f>"EA"</f>
        <v>EA</v>
      </c>
      <c r="J223" s="5">
        <v>1</v>
      </c>
      <c r="K223" s="5">
        <v>0</v>
      </c>
      <c r="L223" t="str">
        <f t="shared" ref="L223" si="466">IFERROR(IF(K223*J223=0,"0",K223*J223),0)</f>
        <v>0</v>
      </c>
      <c r="M223" s="5">
        <v>0</v>
      </c>
      <c r="N223" t="str">
        <f t="shared" ref="N223" si="467">IF(M223*J223=0,"0",M223*J223)</f>
        <v>0</v>
      </c>
      <c r="O223" s="5">
        <v>1.1000000000000001</v>
      </c>
      <c r="P223" s="5">
        <v>3.8938099999999998</v>
      </c>
      <c r="Q223" s="5">
        <f t="shared" ref="Q223" si="468">P223*O223</f>
        <v>4.2831910000000004</v>
      </c>
      <c r="R223" s="6">
        <f t="shared" ref="R223" si="469">IFERROR(Q223+N223+L223,"")</f>
        <v>4.2831910000000004</v>
      </c>
    </row>
    <row r="224" spans="1:18" x14ac:dyDescent="0.25">
      <c r="A224" t="s">
        <v>27</v>
      </c>
      <c r="B224" t="str">
        <f t="shared" ref="B224" si="470">IF($G223="","Hide","Show")</f>
        <v>Show</v>
      </c>
      <c r="H224" t="str">
        <f>"1-1 lb "</f>
        <v xml:space="preserve">1-1 lb </v>
      </c>
    </row>
    <row r="225" spans="1:18" x14ac:dyDescent="0.25">
      <c r="A225" t="s">
        <v>27</v>
      </c>
      <c r="B225" t="str">
        <f t="shared" si="430"/>
        <v>Show</v>
      </c>
      <c r="E225" s="1"/>
      <c r="F225" t="str">
        <f>"""Ceres4"",""TCP-LIVE"",""27"",""1"",""P420002"""</f>
        <v>"Ceres4","TCP-LIVE","27","1","P420002"</v>
      </c>
      <c r="G225" t="str">
        <f>"P420002"</f>
        <v>P420002</v>
      </c>
      <c r="H225" t="str">
        <f>"Protein-Pork Sausage Patty"</f>
        <v>Protein-Pork Sausage Patty</v>
      </c>
      <c r="I225" s="5" t="str">
        <f>"EA"</f>
        <v>EA</v>
      </c>
      <c r="J225" s="5">
        <v>1</v>
      </c>
      <c r="K225" s="5">
        <v>0</v>
      </c>
      <c r="L225" t="str">
        <f t="shared" ref="L225" si="471">IFERROR(IF(K225*J225=0,"0",K225*J225),0)</f>
        <v>0</v>
      </c>
      <c r="M225" s="5">
        <v>0</v>
      </c>
      <c r="N225" t="str">
        <f t="shared" ref="N225" si="472">IF(M225*J225=0,"0",M225*J225)</f>
        <v>0</v>
      </c>
      <c r="O225" s="5">
        <v>1.1000000000000001</v>
      </c>
      <c r="P225" s="5">
        <v>2.6426799999999999</v>
      </c>
      <c r="Q225" s="5">
        <f t="shared" ref="Q225" si="473">P225*O225</f>
        <v>2.9069480000000003</v>
      </c>
      <c r="R225" s="6">
        <f t="shared" ref="R225" si="474">IFERROR(Q225+N225+L225,"")</f>
        <v>2.9069480000000003</v>
      </c>
    </row>
    <row r="226" spans="1:18" x14ac:dyDescent="0.25">
      <c r="A226" t="s">
        <v>27</v>
      </c>
      <c r="B226" t="str">
        <f t="shared" ref="B226" si="475">IF($G225="","Hide","Show")</f>
        <v>Show</v>
      </c>
      <c r="H226" t="str">
        <f>"1-1 lb"</f>
        <v>1-1 lb</v>
      </c>
    </row>
    <row r="227" spans="1:18" x14ac:dyDescent="0.25">
      <c r="A227" t="s">
        <v>27</v>
      </c>
      <c r="B227" t="str">
        <f t="shared" si="430"/>
        <v>Show</v>
      </c>
      <c r="E227" s="1"/>
      <c r="F227" t="str">
        <f>"""Ceres4"",""TCP-LIVE"",""27"",""1"",""P420003"""</f>
        <v>"Ceres4","TCP-LIVE","27","1","P420003"</v>
      </c>
      <c r="G227" t="str">
        <f>"P420003"</f>
        <v>P420003</v>
      </c>
      <c r="H227" t="str">
        <f>"Protein - Bacon"</f>
        <v>Protein - Bacon</v>
      </c>
      <c r="I227" s="5" t="str">
        <f>"LB"</f>
        <v>LB</v>
      </c>
      <c r="J227" s="5">
        <v>1</v>
      </c>
      <c r="K227" s="5">
        <v>0</v>
      </c>
      <c r="L227" t="str">
        <f t="shared" ref="L227" si="476">IFERROR(IF(K227*J227=0,"0",K227*J227),0)</f>
        <v>0</v>
      </c>
      <c r="M227" s="5">
        <v>0</v>
      </c>
      <c r="N227" t="str">
        <f t="shared" ref="N227" si="477">IF(M227*J227=0,"0",M227*J227)</f>
        <v>0</v>
      </c>
      <c r="O227" s="5">
        <v>1.1000000000000001</v>
      </c>
      <c r="P227" s="5">
        <v>4.6640899999999998</v>
      </c>
      <c r="Q227" s="5">
        <f t="shared" ref="Q227" si="478">P227*O227</f>
        <v>5.1304990000000004</v>
      </c>
      <c r="R227" s="6">
        <f t="shared" ref="R227" si="479">IFERROR(Q227+N227+L227,"")</f>
        <v>5.1304990000000004</v>
      </c>
    </row>
    <row r="228" spans="1:18" x14ac:dyDescent="0.25">
      <c r="A228" t="s">
        <v>27</v>
      </c>
      <c r="B228" t="str">
        <f t="shared" ref="B228" si="480">IF($G227="","Hide","Show")</f>
        <v>Show</v>
      </c>
      <c r="H228" t="str">
        <f>"1 lb  "</f>
        <v xml:space="preserve">1 lb  </v>
      </c>
    </row>
    <row r="229" spans="1:18" x14ac:dyDescent="0.25">
      <c r="A229" t="s">
        <v>27</v>
      </c>
      <c r="B229" t="str">
        <f t="shared" si="430"/>
        <v>Show</v>
      </c>
      <c r="E229" s="1"/>
      <c r="F229" t="str">
        <f>"""Ceres4"",""TCP-LIVE"",""27"",""1"",""P420005"""</f>
        <v>"Ceres4","TCP-LIVE","27","1","P420005"</v>
      </c>
      <c r="G229" t="str">
        <f>"P420005"</f>
        <v>P420005</v>
      </c>
      <c r="H229" t="str">
        <f>"Protein - Lunchmeat - Slice Ham"</f>
        <v>Protein - Lunchmeat - Slice Ham</v>
      </c>
      <c r="I229" s="5" t="str">
        <f>"EA"</f>
        <v>EA</v>
      </c>
      <c r="J229" s="5">
        <v>2</v>
      </c>
      <c r="K229" s="5">
        <v>0</v>
      </c>
      <c r="L229" t="str">
        <f t="shared" ref="L229" si="481">IFERROR(IF(K229*J229=0,"0",K229*J229),0)</f>
        <v>0</v>
      </c>
      <c r="M229" s="5">
        <v>0</v>
      </c>
      <c r="N229" t="str">
        <f t="shared" ref="N229" si="482">IF(M229*J229=0,"0",M229*J229)</f>
        <v>0</v>
      </c>
      <c r="O229" s="5">
        <v>1.1000000000000001</v>
      </c>
      <c r="P229" s="5">
        <v>4.5912199999999999</v>
      </c>
      <c r="Q229" s="5">
        <f t="shared" ref="Q229" si="483">P229*O229</f>
        <v>5.0503420000000006</v>
      </c>
      <c r="R229" s="6">
        <f t="shared" ref="R229" si="484">IFERROR(Q229+N229+L229,"")</f>
        <v>5.0503420000000006</v>
      </c>
    </row>
    <row r="230" spans="1:18" x14ac:dyDescent="0.25">
      <c r="A230" t="s">
        <v>27</v>
      </c>
      <c r="B230" t="str">
        <f t="shared" ref="B230" si="485">IF($G229="","Hide","Show")</f>
        <v>Show</v>
      </c>
      <c r="H230" t="str">
        <f>"1 -1  lb"</f>
        <v>1 -1  lb</v>
      </c>
    </row>
    <row r="231" spans="1:18" x14ac:dyDescent="0.25">
      <c r="A231" t="s">
        <v>27</v>
      </c>
      <c r="B231" t="str">
        <f t="shared" si="430"/>
        <v>Show</v>
      </c>
      <c r="E231" s="1"/>
      <c r="F231" t="str">
        <f>"""Ceres4"",""TCP-LIVE"",""27"",""1"",""P429991"""</f>
        <v>"Ceres4","TCP-LIVE","27","1","P429991"</v>
      </c>
      <c r="G231" t="str">
        <f>"P429991"</f>
        <v>P429991</v>
      </c>
      <c r="H231" t="str">
        <f>"Protein - Chicken Wing Bufflo Jumbo 1 and 2 JT"</f>
        <v>Protein - Chicken Wing Bufflo Jumbo 1 and 2 JT</v>
      </c>
      <c r="I231" s="5" t="str">
        <f>"BAG"</f>
        <v>BAG</v>
      </c>
      <c r="J231" s="5">
        <v>5</v>
      </c>
      <c r="K231" s="5">
        <v>0</v>
      </c>
      <c r="L231" t="str">
        <f t="shared" ref="L231" si="486">IFERROR(IF(K231*J231=0,"0",K231*J231),0)</f>
        <v>0</v>
      </c>
      <c r="M231" s="5">
        <v>0</v>
      </c>
      <c r="N231" t="str">
        <f t="shared" ref="N231" si="487">IF(M231*J231=0,"0",M231*J231)</f>
        <v>0</v>
      </c>
      <c r="O231" s="5">
        <v>1</v>
      </c>
      <c r="P231" s="5">
        <v>21.85333</v>
      </c>
      <c r="Q231" s="5">
        <f t="shared" ref="Q231" si="488">P231*O231</f>
        <v>21.85333</v>
      </c>
      <c r="R231" s="6">
        <f t="shared" ref="R231" si="489">IFERROR(Q231+N231+L231,"")</f>
        <v>21.85333</v>
      </c>
    </row>
    <row r="232" spans="1:18" x14ac:dyDescent="0.25">
      <c r="A232" t="s">
        <v>27</v>
      </c>
      <c r="B232" t="str">
        <f t="shared" ref="B232" si="490">IF($G231="","Hide","Show")</f>
        <v>Show</v>
      </c>
      <c r="H232" t="str">
        <f>"1 - 5 lb"</f>
        <v>1 - 5 lb</v>
      </c>
    </row>
    <row r="233" spans="1:18" x14ac:dyDescent="0.25">
      <c r="A233" t="s">
        <v>27</v>
      </c>
      <c r="B233" t="str">
        <f t="shared" si="430"/>
        <v>Show</v>
      </c>
      <c r="E233" s="1"/>
      <c r="F233" t="str">
        <f>"""Ceres4"",""TCP-LIVE"",""27"",""1"",""P440002"""</f>
        <v>"Ceres4","TCP-LIVE","27","1","P440002"</v>
      </c>
      <c r="G233" t="str">
        <f>"P440002"</f>
        <v>P440002</v>
      </c>
      <c r="H233" t="str">
        <f>"Protein - Chicken Drumstick Cooked"</f>
        <v>Protein - Chicken Drumstick Cooked</v>
      </c>
      <c r="I233" s="5" t="str">
        <f>"BOX"</f>
        <v>BOX</v>
      </c>
      <c r="J233" s="5">
        <v>10</v>
      </c>
      <c r="K233" s="5">
        <v>0</v>
      </c>
      <c r="L233" t="str">
        <f t="shared" ref="L233" si="491">IFERROR(IF(K233*J233=0,"0",K233*J233),0)</f>
        <v>0</v>
      </c>
      <c r="M233" s="5">
        <v>0</v>
      </c>
      <c r="N233" t="str">
        <f t="shared" ref="N233" si="492">IF(M233*J233=0,"0",M233*J233)</f>
        <v>0</v>
      </c>
      <c r="O233" s="5">
        <v>1.1000000000000001</v>
      </c>
      <c r="P233" s="5">
        <v>24.735709999999997</v>
      </c>
      <c r="Q233" s="5">
        <f t="shared" ref="Q233" si="493">P233*O233</f>
        <v>27.209281000000001</v>
      </c>
      <c r="R233" s="6">
        <f t="shared" ref="R233" si="494">IFERROR(Q233+N233+L233,"")</f>
        <v>27.209281000000001</v>
      </c>
    </row>
    <row r="234" spans="1:18" x14ac:dyDescent="0.25">
      <c r="A234" t="s">
        <v>27</v>
      </c>
      <c r="B234" t="str">
        <f t="shared" ref="B234" si="495">IF($G233="","Hide","Show")</f>
        <v>Show</v>
      </c>
      <c r="H234" t="str">
        <f>"2- 5 lb bags"</f>
        <v>2- 5 lb bags</v>
      </c>
    </row>
    <row r="235" spans="1:18" x14ac:dyDescent="0.25">
      <c r="A235" t="s">
        <v>27</v>
      </c>
      <c r="B235" t="str">
        <f t="shared" si="430"/>
        <v>Show</v>
      </c>
      <c r="E235" s="1"/>
      <c r="F235" t="str">
        <f>"""Ceres4"",""TCP-LIVE"",""27"",""1"",""P440003"""</f>
        <v>"Ceres4","TCP-LIVE","27","1","P440003"</v>
      </c>
      <c r="G235" t="str">
        <f>"P440003"</f>
        <v>P440003</v>
      </c>
      <c r="H235" t="str">
        <f>"Protein - Chicken Breast"</f>
        <v>Protein - Chicken Breast</v>
      </c>
      <c r="I235" s="5" t="str">
        <f>"CS"</f>
        <v>CS</v>
      </c>
      <c r="J235" s="5">
        <v>2</v>
      </c>
      <c r="K235" s="5">
        <v>0</v>
      </c>
      <c r="L235" t="str">
        <f t="shared" ref="L235" si="496">IFERROR(IF(K235*J235=0,"0",K235*J235),0)</f>
        <v>0</v>
      </c>
      <c r="M235" s="5">
        <v>0</v>
      </c>
      <c r="N235" t="str">
        <f t="shared" ref="N235" si="497">IF(M235*J235=0,"0",M235*J235)</f>
        <v>0</v>
      </c>
      <c r="O235" s="5">
        <v>1</v>
      </c>
      <c r="P235" s="5">
        <v>10.34111</v>
      </c>
      <c r="Q235" s="5">
        <f t="shared" ref="Q235" si="498">P235*O235</f>
        <v>10.34111</v>
      </c>
      <c r="R235" s="6">
        <f t="shared" ref="R235" si="499">IFERROR(Q235+N235+L235,"")</f>
        <v>10.34111</v>
      </c>
    </row>
    <row r="236" spans="1:18" x14ac:dyDescent="0.25">
      <c r="A236" t="s">
        <v>27</v>
      </c>
      <c r="B236" t="str">
        <f t="shared" ref="B236" si="500">IF($G235="","Hide","Show")</f>
        <v>Show</v>
      </c>
      <c r="H236" t="str">
        <f>"8- 4 oz"</f>
        <v>8- 4 oz</v>
      </c>
    </row>
    <row r="237" spans="1:18" x14ac:dyDescent="0.25">
      <c r="A237" t="s">
        <v>27</v>
      </c>
      <c r="B237" t="str">
        <f t="shared" si="430"/>
        <v>Show</v>
      </c>
      <c r="E237" s="1"/>
      <c r="F237" t="str">
        <f>"""Ceres4"",""TCP-LIVE"",""27"",""1"",""P440020"""</f>
        <v>"Ceres4","TCP-LIVE","27","1","P440020"</v>
      </c>
      <c r="G237" t="str">
        <f>"P440020"</f>
        <v>P440020</v>
      </c>
      <c r="H237" t="str">
        <f>"Protein - Corn Dogs"</f>
        <v>Protein - Corn Dogs</v>
      </c>
      <c r="I237" s="5" t="str">
        <f>"BAG"</f>
        <v>BAG</v>
      </c>
      <c r="J237" s="5">
        <v>1</v>
      </c>
      <c r="K237" s="5">
        <v>0</v>
      </c>
      <c r="L237" t="str">
        <f t="shared" ref="L237" si="501">IFERROR(IF(K237*J237=0,"0",K237*J237),0)</f>
        <v>0</v>
      </c>
      <c r="M237" s="5">
        <v>0</v>
      </c>
      <c r="N237" t="str">
        <f t="shared" ref="N237" si="502">IF(M237*J237=0,"0",M237*J237)</f>
        <v>0</v>
      </c>
      <c r="O237" s="5">
        <v>1.1000000000000001</v>
      </c>
      <c r="P237" s="5">
        <v>2.6949999999999998</v>
      </c>
      <c r="Q237" s="5">
        <f t="shared" ref="Q237" si="503">P237*O237</f>
        <v>2.9645000000000001</v>
      </c>
      <c r="R237" s="6">
        <f t="shared" ref="R237" si="504">IFERROR(Q237+N237+L237,"")</f>
        <v>2.9645000000000001</v>
      </c>
    </row>
    <row r="238" spans="1:18" x14ac:dyDescent="0.25">
      <c r="A238" t="s">
        <v>27</v>
      </c>
      <c r="B238" t="str">
        <f t="shared" ref="B238" si="505">IF($G237="","Hide","Show")</f>
        <v>Show</v>
      </c>
      <c r="H238" t="str">
        <f>"6 corn dogs   repack item"</f>
        <v>6 corn dogs   repack item</v>
      </c>
    </row>
    <row r="239" spans="1:18" x14ac:dyDescent="0.25">
      <c r="A239" t="s">
        <v>27</v>
      </c>
      <c r="B239" t="str">
        <f t="shared" si="430"/>
        <v>Show</v>
      </c>
      <c r="E239" s="1"/>
      <c r="F239" t="str">
        <f>"""Ceres4"",""TCP-LIVE"",""27"",""1"",""P440034"""</f>
        <v>"Ceres4","TCP-LIVE","27","1","P440034"</v>
      </c>
      <c r="G239" t="str">
        <f>"P440034"</f>
        <v>P440034</v>
      </c>
      <c r="H239" t="str">
        <f>"Protein - Chicken Leg Quarters"</f>
        <v>Protein - Chicken Leg Quarters</v>
      </c>
      <c r="I239" s="5" t="str">
        <f>"BAG"</f>
        <v>BAG</v>
      </c>
      <c r="J239" s="5">
        <v>10</v>
      </c>
      <c r="K239" s="5">
        <v>0</v>
      </c>
      <c r="L239" t="str">
        <f t="shared" ref="L239" si="506">IFERROR(IF(K239*J239=0,"0",K239*J239),0)</f>
        <v>0</v>
      </c>
      <c r="M239" s="5">
        <v>0</v>
      </c>
      <c r="N239" t="str">
        <f t="shared" ref="N239" si="507">IF(M239*J239=0,"0",M239*J239)</f>
        <v>0</v>
      </c>
      <c r="O239" s="5">
        <v>1.1000000000000001</v>
      </c>
      <c r="P239" s="5">
        <v>5.6349999999999998</v>
      </c>
      <c r="Q239" s="5">
        <f t="shared" ref="Q239" si="508">P239*O239</f>
        <v>6.1985000000000001</v>
      </c>
      <c r="R239" s="6">
        <f t="shared" ref="R239" si="509">IFERROR(Q239+N239+L239,"")</f>
        <v>6.1985000000000001</v>
      </c>
    </row>
    <row r="240" spans="1:18" x14ac:dyDescent="0.25">
      <c r="A240" t="s">
        <v>27</v>
      </c>
      <c r="B240" t="str">
        <f t="shared" ref="B240" si="510">IF($G239="","Hide","Show")</f>
        <v>Show</v>
      </c>
      <c r="H240" t="str">
        <f>"10 lb bag"</f>
        <v>10 lb bag</v>
      </c>
    </row>
    <row r="241" spans="1:18" x14ac:dyDescent="0.25">
      <c r="A241" t="s">
        <v>27</v>
      </c>
      <c r="B241" t="str">
        <f t="shared" si="430"/>
        <v>Show</v>
      </c>
      <c r="E241" s="1"/>
      <c r="F241" t="str">
        <f>"""Ceres4"",""TCP-LIVE"",""27"",""1"",""P441000"""</f>
        <v>"Ceres4","TCP-LIVE","27","1","P441000"</v>
      </c>
      <c r="G241" t="str">
        <f>"P441000"</f>
        <v>P441000</v>
      </c>
      <c r="H241" t="str">
        <f>"Protein-Chicken Nuggets"</f>
        <v>Protein-Chicken Nuggets</v>
      </c>
      <c r="I241" s="5" t="str">
        <f>"BOX"</f>
        <v>BOX</v>
      </c>
      <c r="J241" s="5">
        <v>10</v>
      </c>
      <c r="K241" s="5">
        <v>0</v>
      </c>
      <c r="L241" t="str">
        <f t="shared" ref="L241" si="511">IFERROR(IF(K241*J241=0,"0",K241*J241),0)</f>
        <v>0</v>
      </c>
      <c r="M241" s="5">
        <v>0</v>
      </c>
      <c r="N241" t="str">
        <f t="shared" ref="N241" si="512">IF(M241*J241=0,"0",M241*J241)</f>
        <v>0</v>
      </c>
      <c r="O241" s="5">
        <v>1.1499999999999999</v>
      </c>
      <c r="P241" s="5">
        <v>22.91</v>
      </c>
      <c r="Q241" s="5">
        <f t="shared" ref="Q241" si="513">P241*O241</f>
        <v>26.346499999999999</v>
      </c>
      <c r="R241" s="6">
        <f t="shared" ref="R241" si="514">IFERROR(Q241+N241+L241,"")</f>
        <v>26.346499999999999</v>
      </c>
    </row>
    <row r="242" spans="1:18" x14ac:dyDescent="0.25">
      <c r="A242" t="s">
        <v>27</v>
      </c>
      <c r="B242" t="str">
        <f t="shared" ref="B242" si="515">IF($G241="","Hide","Show")</f>
        <v>Show</v>
      </c>
      <c r="H242" t="str">
        <f>"2-5 lb bags"</f>
        <v>2-5 lb bags</v>
      </c>
    </row>
    <row r="243" spans="1:18" x14ac:dyDescent="0.25">
      <c r="A243" t="s">
        <v>27</v>
      </c>
      <c r="B243" t="str">
        <f t="shared" si="430"/>
        <v>Show</v>
      </c>
      <c r="E243" s="1"/>
      <c r="F243" t="str">
        <f>"""Ceres4"",""TCP-LIVE"",""27"",""1"",""P449990"""</f>
        <v>"Ceres4","TCP-LIVE","27","1","P449990"</v>
      </c>
      <c r="G243" t="str">
        <f>"P449990"</f>
        <v>P449990</v>
      </c>
      <c r="H243" t="str">
        <f>"Protein - Chicken Wings Smoked 1 and 2 JT "</f>
        <v xml:space="preserve">Protein - Chicken Wings Smoked 1 and 2 JT </v>
      </c>
      <c r="I243" s="5" t="str">
        <f>"BAG"</f>
        <v>BAG</v>
      </c>
      <c r="J243" s="5">
        <v>5</v>
      </c>
      <c r="K243" s="5">
        <v>0</v>
      </c>
      <c r="L243" t="str">
        <f t="shared" ref="L243" si="516">IFERROR(IF(K243*J243=0,"0",K243*J243),0)</f>
        <v>0</v>
      </c>
      <c r="M243" s="5">
        <v>0</v>
      </c>
      <c r="N243" t="str">
        <f t="shared" ref="N243" si="517">IF(M243*J243=0,"0",M243*J243)</f>
        <v>0</v>
      </c>
      <c r="O243" s="5">
        <v>1.1000000000000001</v>
      </c>
      <c r="P243" s="5">
        <v>24.482109999999999</v>
      </c>
      <c r="Q243" s="5">
        <f t="shared" ref="Q243" si="518">P243*O243</f>
        <v>26.930320999999999</v>
      </c>
      <c r="R243" s="6">
        <f t="shared" ref="R243" si="519">IFERROR(Q243+N243+L243,"")</f>
        <v>26.930320999999999</v>
      </c>
    </row>
    <row r="244" spans="1:18" x14ac:dyDescent="0.25">
      <c r="A244" t="s">
        <v>27</v>
      </c>
      <c r="B244" t="str">
        <f t="shared" ref="B244" si="520">IF($G243="","Hide","Show")</f>
        <v>Show</v>
      </c>
      <c r="H244" t="str">
        <f>"1- 5 lb bag"</f>
        <v>1- 5 lb bag</v>
      </c>
    </row>
    <row r="245" spans="1:18" x14ac:dyDescent="0.25">
      <c r="A245" t="s">
        <v>27</v>
      </c>
      <c r="B245" t="str">
        <f t="shared" si="430"/>
        <v>Show</v>
      </c>
      <c r="E245" s="1"/>
      <c r="F245" t="str">
        <f>"""Ceres4"",""TCP-LIVE"",""27"",""1"",""P450000"""</f>
        <v>"Ceres4","TCP-LIVE","27","1","P450000"</v>
      </c>
      <c r="G245" t="str">
        <f>"P450000"</f>
        <v>P450000</v>
      </c>
      <c r="H245" t="str">
        <f>"Protein - Turkeys "</f>
        <v xml:space="preserve">Protein - Turkeys </v>
      </c>
      <c r="I245" s="5" t="str">
        <f>"EA"</f>
        <v>EA</v>
      </c>
      <c r="J245" s="5">
        <v>13</v>
      </c>
      <c r="K245" s="5">
        <v>0</v>
      </c>
      <c r="L245" t="str">
        <f t="shared" ref="L245" si="521">IFERROR(IF(K245*J245=0,"0",K245*J245),0)</f>
        <v>0</v>
      </c>
      <c r="M245" s="5">
        <v>0</v>
      </c>
      <c r="N245" t="str">
        <f t="shared" ref="N245" si="522">IF(M245*J245=0,"0",M245*J245)</f>
        <v>0</v>
      </c>
      <c r="O245" s="5">
        <v>1</v>
      </c>
      <c r="P245" s="5">
        <v>16.2</v>
      </c>
      <c r="Q245" s="5">
        <f t="shared" ref="Q245" si="523">P245*O245</f>
        <v>16.2</v>
      </c>
      <c r="R245" s="6">
        <f t="shared" ref="R245" si="524">IFERROR(Q245+N245+L245,"")</f>
        <v>16.2</v>
      </c>
    </row>
    <row r="246" spans="1:18" x14ac:dyDescent="0.25">
      <c r="A246" t="s">
        <v>27</v>
      </c>
      <c r="B246" t="str">
        <f t="shared" ref="B246" si="525">IF($G245="","Hide","Show")</f>
        <v>Show</v>
      </c>
      <c r="H246" t="str">
        <f>"1- 13 lb "</f>
        <v xml:space="preserve">1- 13 lb </v>
      </c>
    </row>
    <row r="247" spans="1:18" x14ac:dyDescent="0.25">
      <c r="A247" t="s">
        <v>27</v>
      </c>
      <c r="B247" t="str">
        <f t="shared" si="430"/>
        <v>Show</v>
      </c>
      <c r="E247" s="1"/>
      <c r="F247" t="str">
        <f>"""Ceres4"",""TCP-LIVE"",""27"",""1"",""P480006"""</f>
        <v>"Ceres4","TCP-LIVE","27","1","P480006"</v>
      </c>
      <c r="G247" t="str">
        <f>"P480006"</f>
        <v>P480006</v>
      </c>
      <c r="H247" t="str">
        <f>"Protein - Turkey Lunchmeat"</f>
        <v>Protein - Turkey Lunchmeat</v>
      </c>
      <c r="I247" s="5" t="str">
        <f>"EA"</f>
        <v>EA</v>
      </c>
      <c r="J247" s="5">
        <v>1</v>
      </c>
      <c r="K247" s="5">
        <v>0</v>
      </c>
      <c r="L247" t="str">
        <f t="shared" ref="L247" si="526">IFERROR(IF(K247*J247=0,"0",K247*J247),0)</f>
        <v>0</v>
      </c>
      <c r="M247" s="5">
        <v>0</v>
      </c>
      <c r="N247" t="str">
        <f t="shared" ref="N247" si="527">IF(M247*J247=0,"0",M247*J247)</f>
        <v>0</v>
      </c>
      <c r="O247" s="5">
        <v>1.2</v>
      </c>
      <c r="P247" s="5">
        <v>3.3849999999999998</v>
      </c>
      <c r="Q247" s="5">
        <f t="shared" ref="Q247" si="528">P247*O247</f>
        <v>4.0619999999999994</v>
      </c>
      <c r="R247" s="6">
        <f t="shared" ref="R247" si="529">IFERROR(Q247+N247+L247,"")</f>
        <v>4.0619999999999994</v>
      </c>
    </row>
    <row r="248" spans="1:18" x14ac:dyDescent="0.25">
      <c r="A248" t="s">
        <v>27</v>
      </c>
      <c r="B248" t="str">
        <f t="shared" ref="B248" si="530">IF($G247="","Hide","Show")</f>
        <v>Show</v>
      </c>
      <c r="H248" t="str">
        <f>"1 lb"</f>
        <v>1 lb</v>
      </c>
    </row>
    <row r="249" spans="1:18" x14ac:dyDescent="0.25">
      <c r="A249" t="s">
        <v>27</v>
      </c>
      <c r="B249" t="str">
        <f t="shared" si="430"/>
        <v>Show</v>
      </c>
      <c r="E249" s="1"/>
      <c r="F249" t="str">
        <f>"""Ceres4"",""TCP-LIVE"",""27"",""1"",""P480007"""</f>
        <v>"Ceres4","TCP-LIVE","27","1","P480007"</v>
      </c>
      <c r="G249" t="str">
        <f>"P480007"</f>
        <v>P480007</v>
      </c>
      <c r="H249" t="str">
        <f>"Protein - Sliced Turkey Breast Sandwich meat"</f>
        <v>Protein - Sliced Turkey Breast Sandwich meat</v>
      </c>
      <c r="I249" s="5" t="str">
        <f>"EA"</f>
        <v>EA</v>
      </c>
      <c r="J249" s="5">
        <v>2</v>
      </c>
      <c r="K249" s="5">
        <v>0</v>
      </c>
      <c r="L249" t="str">
        <f t="shared" ref="L249" si="531">IFERROR(IF(K249*J249=0,"0",K249*J249),0)</f>
        <v>0</v>
      </c>
      <c r="M249" s="5">
        <v>0</v>
      </c>
      <c r="N249" t="str">
        <f t="shared" ref="N249" si="532">IF(M249*J249=0,"0",M249*J249)</f>
        <v>0</v>
      </c>
      <c r="O249" s="5">
        <v>1.1000000000000001</v>
      </c>
      <c r="P249" s="5">
        <v>8.8183299999999996</v>
      </c>
      <c r="Q249" s="5">
        <f t="shared" ref="Q249" si="533">P249*O249</f>
        <v>9.7001629999999999</v>
      </c>
      <c r="R249" s="6">
        <f t="shared" ref="R249" si="534">IFERROR(Q249+N249+L249,"")</f>
        <v>9.7001629999999999</v>
      </c>
    </row>
    <row r="250" spans="1:18" x14ac:dyDescent="0.25">
      <c r="A250" t="s">
        <v>27</v>
      </c>
      <c r="B250" t="str">
        <f t="shared" ref="B250" si="535">IF($G249="","Hide","Show")</f>
        <v>Show</v>
      </c>
      <c r="H250" t="str">
        <f>"1-2 lb "</f>
        <v xml:space="preserve">1-2 lb </v>
      </c>
    </row>
    <row r="251" spans="1:18" ht="17.25" x14ac:dyDescent="0.3">
      <c r="A251" t="s">
        <v>27</v>
      </c>
      <c r="B251" t="str">
        <f t="shared" ref="B251" si="536">IF($G252="","Hide","Show")</f>
        <v>Show</v>
      </c>
      <c r="C251" t="str">
        <f>"""Ceres4"",""TCP-LIVE"",""14012281"",""1"",""PRO-NON"""</f>
        <v>"Ceres4","TCP-LIVE","14012281","1","PRO-NON"</v>
      </c>
      <c r="D251" t="s">
        <v>57</v>
      </c>
      <c r="E251" s="9" t="s">
        <v>10</v>
      </c>
      <c r="F251" s="2"/>
      <c r="G251" s="8" t="s">
        <v>68</v>
      </c>
    </row>
    <row r="252" spans="1:18" x14ac:dyDescent="0.25">
      <c r="A252" t="s">
        <v>27</v>
      </c>
      <c r="B252" t="str">
        <f t="shared" ref="B252:B260" si="537">IF($G252="","Hide","Show")</f>
        <v>Show</v>
      </c>
      <c r="E252" s="1"/>
      <c r="F252" t="s">
        <v>69</v>
      </c>
      <c r="G252" t="str">
        <f>"P250049"</f>
        <v>P250049</v>
      </c>
      <c r="H252" t="str">
        <f>"Entree - Pork and Beans"</f>
        <v>Entree - Pork and Beans</v>
      </c>
      <c r="I252" s="5" t="str">
        <f>"CS"</f>
        <v>CS</v>
      </c>
      <c r="J252" s="5">
        <v>26</v>
      </c>
      <c r="K252" s="5">
        <v>0</v>
      </c>
      <c r="L252" t="str">
        <f t="shared" ref="L252" si="538">IFERROR(IF(K252*J252=0,"0",K252*J252),0)</f>
        <v>0</v>
      </c>
      <c r="M252" s="5">
        <v>0</v>
      </c>
      <c r="N252" t="str">
        <f t="shared" ref="N252" si="539">IF(M252*J252=0,"0",M252*J252)</f>
        <v>0</v>
      </c>
      <c r="O252" s="5">
        <v>1.1499999999999999</v>
      </c>
      <c r="P252" s="5">
        <v>15.23</v>
      </c>
      <c r="Q252" s="5">
        <f t="shared" ref="Q252" si="540">P252*O252</f>
        <v>17.514499999999998</v>
      </c>
      <c r="R252" s="6">
        <f t="shared" ref="R252" si="541">IFERROR(Q252+N252+L252,"")</f>
        <v>17.514499999999998</v>
      </c>
    </row>
    <row r="253" spans="1:18" x14ac:dyDescent="0.25">
      <c r="A253" t="s">
        <v>27</v>
      </c>
      <c r="B253" t="str">
        <f t="shared" ref="B253" si="542">IF($G252="","Hide","Show")</f>
        <v>Show</v>
      </c>
      <c r="H253" t="str">
        <f>"24-15 oz"</f>
        <v>24-15 oz</v>
      </c>
    </row>
    <row r="254" spans="1:18" x14ac:dyDescent="0.25">
      <c r="A254" t="s">
        <v>27</v>
      </c>
      <c r="B254" t="str">
        <f t="shared" si="537"/>
        <v>Show</v>
      </c>
      <c r="E254" s="1"/>
      <c r="F254" t="str">
        <f>"""Ceres4"",""TCP-LIVE"",""27"",""1"",""P490012"""</f>
        <v>"Ceres4","TCP-LIVE","27","1","P490012"</v>
      </c>
      <c r="G254" t="str">
        <f>"P490012"</f>
        <v>P490012</v>
      </c>
      <c r="H254" t="str">
        <f>"Protein - Crunchy Peanut Butter"</f>
        <v>Protein - Crunchy Peanut Butter</v>
      </c>
      <c r="I254" s="5" t="str">
        <f>"CS"</f>
        <v>CS</v>
      </c>
      <c r="J254" s="5">
        <v>21</v>
      </c>
      <c r="K254" s="5">
        <v>0</v>
      </c>
      <c r="L254" t="str">
        <f t="shared" ref="L254" si="543">IFERROR(IF(K254*J254=0,"0",K254*J254),0)</f>
        <v>0</v>
      </c>
      <c r="M254" s="5">
        <v>0</v>
      </c>
      <c r="N254" t="str">
        <f t="shared" ref="N254" si="544">IF(M254*J254=0,"0",M254*J254)</f>
        <v>0</v>
      </c>
      <c r="O254" s="5">
        <v>1.2</v>
      </c>
      <c r="P254" s="5">
        <v>16.73</v>
      </c>
      <c r="Q254" s="5">
        <f t="shared" ref="Q254" si="545">P254*O254</f>
        <v>20.076000000000001</v>
      </c>
      <c r="R254" s="6">
        <f t="shared" ref="R254" si="546">IFERROR(Q254+N254+L254,"")</f>
        <v>20.076000000000001</v>
      </c>
    </row>
    <row r="255" spans="1:18" x14ac:dyDescent="0.25">
      <c r="A255" t="s">
        <v>27</v>
      </c>
      <c r="B255" t="str">
        <f t="shared" ref="B255" si="547">IF($G254="","Hide","Show")</f>
        <v>Show</v>
      </c>
      <c r="H255" t="str">
        <f>"12-28 oz"</f>
        <v>12-28 oz</v>
      </c>
    </row>
    <row r="256" spans="1:18" x14ac:dyDescent="0.25">
      <c r="A256" t="s">
        <v>27</v>
      </c>
      <c r="B256" t="str">
        <f t="shared" si="537"/>
        <v>Show</v>
      </c>
      <c r="E256" s="1"/>
      <c r="F256" t="str">
        <f>"""Ceres4"",""TCP-LIVE"",""27"",""1"",""P490018"""</f>
        <v>"Ceres4","TCP-LIVE","27","1","P490018"</v>
      </c>
      <c r="G256" t="str">
        <f>"P490018"</f>
        <v>P490018</v>
      </c>
      <c r="H256" t="str">
        <f>"Non Protein - Creamy Peanut Butter"</f>
        <v>Non Protein - Creamy Peanut Butter</v>
      </c>
      <c r="I256" s="5" t="str">
        <f>"CS"</f>
        <v>CS</v>
      </c>
      <c r="J256" s="5">
        <v>12</v>
      </c>
      <c r="K256" s="5">
        <v>0</v>
      </c>
      <c r="L256" t="str">
        <f t="shared" ref="L256" si="548">IFERROR(IF(K256*J256=0,"0",K256*J256),0)</f>
        <v>0</v>
      </c>
      <c r="M256" s="5">
        <v>0</v>
      </c>
      <c r="N256" t="str">
        <f t="shared" ref="N256" si="549">IF(M256*J256=0,"0",M256*J256)</f>
        <v>0</v>
      </c>
      <c r="O256" s="5">
        <v>1.2</v>
      </c>
      <c r="P256" s="5">
        <v>14.33</v>
      </c>
      <c r="Q256" s="5">
        <f t="shared" ref="Q256" si="550">P256*O256</f>
        <v>17.195999999999998</v>
      </c>
      <c r="R256" s="6">
        <f t="shared" ref="R256" si="551">IFERROR(Q256+N256+L256,"")</f>
        <v>17.195999999999998</v>
      </c>
    </row>
    <row r="257" spans="1:18" x14ac:dyDescent="0.25">
      <c r="A257" t="s">
        <v>27</v>
      </c>
      <c r="B257" t="str">
        <f t="shared" ref="B257" si="552">IF($G256="","Hide","Show")</f>
        <v>Show</v>
      </c>
      <c r="H257" t="str">
        <f>"12- 16 oz"</f>
        <v>12- 16 oz</v>
      </c>
    </row>
    <row r="258" spans="1:18" x14ac:dyDescent="0.25">
      <c r="A258" t="s">
        <v>27</v>
      </c>
      <c r="B258" t="str">
        <f t="shared" si="537"/>
        <v>Show</v>
      </c>
      <c r="E258" s="1"/>
      <c r="F258" t="str">
        <f>"""Ceres4"",""TCP-LIVE"",""27"",""1"",""P490035"""</f>
        <v>"Ceres4","TCP-LIVE","27","1","P490035"</v>
      </c>
      <c r="G258" t="str">
        <f>"P490035"</f>
        <v>P490035</v>
      </c>
      <c r="H258" t="str">
        <f>"Protein - Pinto Brcho Seasoned Beans"</f>
        <v>Protein - Pinto Brcho Seasoned Beans</v>
      </c>
      <c r="I258" s="5" t="str">
        <f>"EA"</f>
        <v>EA</v>
      </c>
      <c r="J258" s="5">
        <v>7</v>
      </c>
      <c r="K258" s="5">
        <v>0</v>
      </c>
      <c r="L258" t="str">
        <f t="shared" ref="L258" si="553">IFERROR(IF(K258*J258=0,"0",K258*J258),0)</f>
        <v>0</v>
      </c>
      <c r="M258" s="5">
        <v>0</v>
      </c>
      <c r="N258" t="str">
        <f t="shared" ref="N258" si="554">IF(M258*J258=0,"0",M258*J258)</f>
        <v>0</v>
      </c>
      <c r="O258" s="5">
        <v>1.1000000000000001</v>
      </c>
      <c r="P258" s="5">
        <v>7.9224999999999994</v>
      </c>
      <c r="Q258" s="5">
        <f t="shared" ref="Q258" si="555">P258*O258</f>
        <v>8.7147500000000004</v>
      </c>
      <c r="R258" s="6">
        <f t="shared" ref="R258" si="556">IFERROR(Q258+N258+L258,"")</f>
        <v>8.7147500000000004</v>
      </c>
    </row>
    <row r="259" spans="1:18" x14ac:dyDescent="0.25">
      <c r="A259" t="s">
        <v>27</v>
      </c>
      <c r="B259" t="str">
        <f t="shared" ref="B259" si="557">IF($G258="","Hide","Show")</f>
        <v>Show</v>
      </c>
      <c r="H259" t="str">
        <f>"1-7 lb  can"</f>
        <v>1-7 lb  can</v>
      </c>
    </row>
    <row r="260" spans="1:18" x14ac:dyDescent="0.25">
      <c r="A260" t="s">
        <v>27</v>
      </c>
      <c r="B260" t="str">
        <f t="shared" si="537"/>
        <v>Show</v>
      </c>
      <c r="E260" s="1"/>
      <c r="F260" t="str">
        <f>"""Ceres4"",""TCP-LIVE"",""27"",""1"",""P490040"""</f>
        <v>"Ceres4","TCP-LIVE","27","1","P490040"</v>
      </c>
      <c r="G260" t="str">
        <f>"P490040"</f>
        <v>P490040</v>
      </c>
      <c r="H260" t="str">
        <f>"Non Protein - Baked Beans"</f>
        <v>Non Protein - Baked Beans</v>
      </c>
      <c r="I260" s="5" t="str">
        <f>"CS"</f>
        <v>CS</v>
      </c>
      <c r="J260" s="5">
        <v>12</v>
      </c>
      <c r="K260" s="5">
        <v>0</v>
      </c>
      <c r="L260" t="str">
        <f t="shared" ref="L260" si="558">IFERROR(IF(K260*J260=0,"0",K260*J260),0)</f>
        <v>0</v>
      </c>
      <c r="M260" s="5">
        <v>0</v>
      </c>
      <c r="N260" t="str">
        <f t="shared" ref="N260" si="559">IF(M260*J260=0,"0",M260*J260)</f>
        <v>0</v>
      </c>
      <c r="O260" s="5">
        <v>1.2</v>
      </c>
      <c r="P260" s="5">
        <v>7.13</v>
      </c>
      <c r="Q260" s="5">
        <f t="shared" ref="Q260" si="560">P260*O260</f>
        <v>8.5559999999999992</v>
      </c>
      <c r="R260" s="6">
        <f t="shared" ref="R260" si="561">IFERROR(Q260+N260+L260,"")</f>
        <v>8.5559999999999992</v>
      </c>
    </row>
    <row r="261" spans="1:18" x14ac:dyDescent="0.25">
      <c r="A261" t="s">
        <v>27</v>
      </c>
      <c r="B261" t="str">
        <f t="shared" ref="B261" si="562">IF($G260="","Hide","Show")</f>
        <v>Show</v>
      </c>
      <c r="H261" t="str">
        <f>"12- 16 oz"</f>
        <v>12- 16 oz</v>
      </c>
    </row>
    <row r="262" spans="1:18" ht="17.25" hidden="1" x14ac:dyDescent="0.3">
      <c r="A262" t="s">
        <v>27</v>
      </c>
      <c r="B262" t="str">
        <f t="shared" ref="B262" si="563">IF($G263="","Hide","Show")</f>
        <v>Hide</v>
      </c>
      <c r="C262" t="str">
        <f>"""Ceres4"",""TCP-LIVE"",""14012281"",""1"",""RICE"""</f>
        <v>"Ceres4","TCP-LIVE","14012281","1","RICE"</v>
      </c>
      <c r="D262" t="s">
        <v>58</v>
      </c>
      <c r="E262" s="9" t="s">
        <v>10</v>
      </c>
      <c r="F262" s="2"/>
      <c r="G262" s="8" t="s">
        <v>62</v>
      </c>
    </row>
    <row r="263" spans="1:18" hidden="1" x14ac:dyDescent="0.25">
      <c r="A263" t="s">
        <v>27</v>
      </c>
      <c r="B263" t="str">
        <f t="shared" ref="B263" si="564">IF($G263="","Hide","Show")</f>
        <v>Hide</v>
      </c>
      <c r="E263" s="1"/>
      <c r="F263" t="s">
        <v>28</v>
      </c>
      <c r="G263" t="s">
        <v>28</v>
      </c>
      <c r="H263" t="s">
        <v>28</v>
      </c>
      <c r="I263" s="5" t="s">
        <v>28</v>
      </c>
      <c r="J263" s="5" t="s">
        <v>28</v>
      </c>
      <c r="K263" s="5" t="s">
        <v>66</v>
      </c>
      <c r="L263">
        <f t="shared" ref="L263" si="565">IFERROR(IF(K263*J263=0,"0",K263*J263),0)</f>
        <v>0</v>
      </c>
      <c r="M263" s="5" t="s">
        <v>28</v>
      </c>
      <c r="N263" t="e">
        <f t="shared" ref="N263" si="566">IF(M263*J263=0,"0",M263*J263)</f>
        <v>#VALUE!</v>
      </c>
      <c r="O263" s="5" t="s">
        <v>28</v>
      </c>
      <c r="P263" s="5" t="s">
        <v>28</v>
      </c>
      <c r="Q263" s="5" t="e">
        <f t="shared" ref="Q263" si="567">P263*O263</f>
        <v>#VALUE!</v>
      </c>
      <c r="R263" s="6" t="str">
        <f t="shared" ref="R263" si="568">IFERROR(Q263+N263+L263,"")</f>
        <v/>
      </c>
    </row>
    <row r="264" spans="1:18" hidden="1" x14ac:dyDescent="0.25">
      <c r="A264" t="s">
        <v>27</v>
      </c>
      <c r="B264" t="str">
        <f t="shared" ref="B264" si="569">IF($G263="","Hide","Show")</f>
        <v>Hide</v>
      </c>
      <c r="H264" t="s">
        <v>28</v>
      </c>
    </row>
    <row r="265" spans="1:18" hidden="1" x14ac:dyDescent="0.25">
      <c r="A265" t="s">
        <v>27</v>
      </c>
      <c r="B265" t="str">
        <f t="shared" ref="B265" si="570">IF($G263="","Hide","Show")</f>
        <v>Hide</v>
      </c>
    </row>
    <row r="266" spans="1:18" ht="17.25" hidden="1" x14ac:dyDescent="0.3">
      <c r="A266" t="s">
        <v>27</v>
      </c>
      <c r="B266" t="str">
        <f t="shared" ref="B266" si="571">IF($G267="","Hide","Show")</f>
        <v>Hide</v>
      </c>
      <c r="C266" t="str">
        <f>"""Ceres4"",""TCP-LIVE"",""14012281"",""1"",""SALVAGE"""</f>
        <v>"Ceres4","TCP-LIVE","14012281","1","SALVAGE"</v>
      </c>
      <c r="D266" t="s">
        <v>59</v>
      </c>
      <c r="E266" s="9" t="s">
        <v>10</v>
      </c>
      <c r="F266" s="2"/>
      <c r="G266" s="8" t="s">
        <v>63</v>
      </c>
    </row>
    <row r="267" spans="1:18" hidden="1" x14ac:dyDescent="0.25">
      <c r="A267" t="s">
        <v>27</v>
      </c>
      <c r="B267" t="str">
        <f t="shared" ref="B267" si="572">IF($G267="","Hide","Show")</f>
        <v>Hide</v>
      </c>
      <c r="E267" s="1"/>
      <c r="F267" t="s">
        <v>28</v>
      </c>
      <c r="G267" t="s">
        <v>28</v>
      </c>
      <c r="H267" t="s">
        <v>28</v>
      </c>
      <c r="I267" s="5" t="s">
        <v>28</v>
      </c>
      <c r="J267" s="5" t="s">
        <v>28</v>
      </c>
      <c r="K267" s="5" t="s">
        <v>66</v>
      </c>
      <c r="L267">
        <f t="shared" ref="L267" si="573">IFERROR(IF(K267*J267=0,"0",K267*J267),0)</f>
        <v>0</v>
      </c>
      <c r="M267" s="5" t="s">
        <v>28</v>
      </c>
      <c r="N267" t="e">
        <f t="shared" ref="N267" si="574">IF(M267*J267=0,"0",M267*J267)</f>
        <v>#VALUE!</v>
      </c>
      <c r="O267" s="5" t="s">
        <v>28</v>
      </c>
      <c r="P267" s="5" t="s">
        <v>28</v>
      </c>
      <c r="Q267" s="5" t="e">
        <f t="shared" ref="Q267" si="575">P267*O267</f>
        <v>#VALUE!</v>
      </c>
      <c r="R267" s="6" t="str">
        <f t="shared" ref="R267" si="576">IFERROR(Q267+N267+L267,"")</f>
        <v/>
      </c>
    </row>
    <row r="268" spans="1:18" hidden="1" x14ac:dyDescent="0.25">
      <c r="A268" t="s">
        <v>27</v>
      </c>
      <c r="B268" t="str">
        <f t="shared" ref="B268" si="577">IF($G267="","Hide","Show")</f>
        <v>Hide</v>
      </c>
      <c r="H268" t="s">
        <v>28</v>
      </c>
    </row>
    <row r="269" spans="1:18" hidden="1" x14ac:dyDescent="0.25">
      <c r="A269" t="s">
        <v>27</v>
      </c>
      <c r="B269" t="str">
        <f t="shared" ref="B269" si="578">IF($G267="","Hide","Show")</f>
        <v>Hide</v>
      </c>
    </row>
    <row r="270" spans="1:18" ht="17.25" x14ac:dyDescent="0.3">
      <c r="A270" t="s">
        <v>27</v>
      </c>
      <c r="B270" t="str">
        <f t="shared" ref="B270" si="579">IF($G271="","Hide","Show")</f>
        <v>Show</v>
      </c>
      <c r="C270" t="str">
        <f>"""Ceres4"",""TCP-LIVE"",""14012281"",""1"",""SNACK"""</f>
        <v>"Ceres4","TCP-LIVE","14012281","1","SNACK"</v>
      </c>
      <c r="D270" t="s">
        <v>60</v>
      </c>
      <c r="E270" s="9" t="s">
        <v>10</v>
      </c>
      <c r="F270" s="2"/>
      <c r="G270" s="8" t="s">
        <v>64</v>
      </c>
    </row>
    <row r="271" spans="1:18" x14ac:dyDescent="0.25">
      <c r="A271" t="s">
        <v>27</v>
      </c>
      <c r="B271" t="str">
        <f t="shared" ref="B271:B285" si="580">IF($G271="","Hide","Show")</f>
        <v>Show</v>
      </c>
      <c r="E271" s="1"/>
      <c r="F271" t="s">
        <v>67</v>
      </c>
      <c r="G271" t="str">
        <f>"600293"</f>
        <v>600293</v>
      </c>
      <c r="H271" t="str">
        <f>"Snack - Pringles Pizza"</f>
        <v>Snack - Pringles Pizza</v>
      </c>
      <c r="I271" s="5" t="str">
        <f>"CS"</f>
        <v>CS</v>
      </c>
      <c r="J271" s="5">
        <v>5</v>
      </c>
      <c r="K271" s="5">
        <v>0.19</v>
      </c>
      <c r="L271">
        <f t="shared" ref="L271" si="581">IFERROR(IF(K271*J271=0,"0",K271*J271),0)</f>
        <v>0.95</v>
      </c>
      <c r="M271" s="5">
        <v>0</v>
      </c>
      <c r="N271" t="str">
        <f t="shared" ref="N271" si="582">IF(M271*J271=0,"0",M271*J271)</f>
        <v>0</v>
      </c>
      <c r="O271" s="5">
        <v>1</v>
      </c>
      <c r="P271" s="5">
        <v>0</v>
      </c>
      <c r="Q271" s="5">
        <f t="shared" ref="Q271" si="583">P271*O271</f>
        <v>0</v>
      </c>
      <c r="R271" s="6">
        <f t="shared" ref="R271" si="584">IFERROR(Q271+N271+L271,"")</f>
        <v>0.95</v>
      </c>
    </row>
    <row r="272" spans="1:18" x14ac:dyDescent="0.25">
      <c r="A272" t="s">
        <v>27</v>
      </c>
      <c r="B272" t="str">
        <f t="shared" ref="B272" si="585">IF($G271="","Hide","Show")</f>
        <v>Show</v>
      </c>
      <c r="H272" t="str">
        <f>"14-6 oz"</f>
        <v>14-6 oz</v>
      </c>
    </row>
    <row r="273" spans="1:18" x14ac:dyDescent="0.25">
      <c r="A273" t="s">
        <v>27</v>
      </c>
      <c r="B273" t="str">
        <f t="shared" si="580"/>
        <v>Show</v>
      </c>
      <c r="E273" s="1"/>
      <c r="F273" t="str">
        <f>"""Ceres4"",""TCP-LIVE"",""27"",""1"",""600862"""</f>
        <v>"Ceres4","TCP-LIVE","27","1","600862"</v>
      </c>
      <c r="G273" t="str">
        <f>"600862"</f>
        <v>600862</v>
      </c>
      <c r="H273" t="str">
        <f>"Snack - Popcorn Sweet and Cheesy"</f>
        <v>Snack - Popcorn Sweet and Cheesy</v>
      </c>
      <c r="I273" s="5" t="str">
        <f>"CS"</f>
        <v>CS</v>
      </c>
      <c r="J273" s="5">
        <v>9</v>
      </c>
      <c r="K273" s="5">
        <v>0.19</v>
      </c>
      <c r="L273">
        <f t="shared" ref="L273" si="586">IFERROR(IF(K273*J273=0,"0",K273*J273),0)</f>
        <v>1.71</v>
      </c>
      <c r="M273" s="5">
        <v>0</v>
      </c>
      <c r="N273" t="str">
        <f t="shared" ref="N273" si="587">IF(M273*J273=0,"0",M273*J273)</f>
        <v>0</v>
      </c>
      <c r="O273" s="5">
        <v>1</v>
      </c>
      <c r="P273" s="5">
        <v>0</v>
      </c>
      <c r="Q273" s="5">
        <f t="shared" ref="Q273" si="588">P273*O273</f>
        <v>0</v>
      </c>
      <c r="R273" s="6">
        <f t="shared" ref="R273" si="589">IFERROR(Q273+N273+L273,"")</f>
        <v>1.71</v>
      </c>
    </row>
    <row r="274" spans="1:18" x14ac:dyDescent="0.25">
      <c r="A274" t="s">
        <v>27</v>
      </c>
      <c r="B274" t="str">
        <f t="shared" ref="B274" si="590">IF($G273="","Hide","Show")</f>
        <v>Show</v>
      </c>
      <c r="H274" t="str">
        <f>"12-12 oz"</f>
        <v>12-12 oz</v>
      </c>
    </row>
    <row r="275" spans="1:18" x14ac:dyDescent="0.25">
      <c r="A275" t="s">
        <v>27</v>
      </c>
      <c r="B275" t="str">
        <f t="shared" si="580"/>
        <v>Show</v>
      </c>
      <c r="E275" s="1"/>
      <c r="F275" t="str">
        <f>"""Ceres4"",""TCP-LIVE"",""27"",""1"",""600971"""</f>
        <v>"Ceres4","TCP-LIVE","27","1","600971"</v>
      </c>
      <c r="G275" t="str">
        <f>"600971"</f>
        <v>600971</v>
      </c>
      <c r="H275" t="str">
        <f>"Snack- Fiber Bars"</f>
        <v>Snack- Fiber Bars</v>
      </c>
      <c r="I275" s="5" t="str">
        <f>"CS"</f>
        <v>CS</v>
      </c>
      <c r="J275" s="5">
        <v>4</v>
      </c>
      <c r="K275" s="5">
        <v>0.19</v>
      </c>
      <c r="L275">
        <f t="shared" ref="L275" si="591">IFERROR(IF(K275*J275=0,"0",K275*J275),0)</f>
        <v>0.76</v>
      </c>
      <c r="M275" s="5">
        <v>0</v>
      </c>
      <c r="N275" t="str">
        <f t="shared" ref="N275" si="592">IF(M275*J275=0,"0",M275*J275)</f>
        <v>0</v>
      </c>
      <c r="O275" s="5">
        <v>1</v>
      </c>
      <c r="P275" s="5">
        <v>0</v>
      </c>
      <c r="Q275" s="5">
        <f t="shared" ref="Q275" si="593">P275*O275</f>
        <v>0</v>
      </c>
      <c r="R275" s="6">
        <f t="shared" ref="R275" si="594">IFERROR(Q275+N275+L275,"")</f>
        <v>0.76</v>
      </c>
    </row>
    <row r="276" spans="1:18" x14ac:dyDescent="0.25">
      <c r="A276" t="s">
        <v>27</v>
      </c>
      <c r="B276" t="str">
        <f t="shared" ref="B276" si="595">IF($G275="","Hide","Show")</f>
        <v>Show</v>
      </c>
      <c r="H276" t="str">
        <f>"36- 1 oz"</f>
        <v>36- 1 oz</v>
      </c>
    </row>
    <row r="277" spans="1:18" x14ac:dyDescent="0.25">
      <c r="A277" t="s">
        <v>27</v>
      </c>
      <c r="B277" t="str">
        <f t="shared" si="580"/>
        <v>Show</v>
      </c>
      <c r="E277" s="1"/>
      <c r="F277" t="str">
        <f>"""Ceres4"",""TCP-LIVE"",""27"",""1"",""601071"""</f>
        <v>"Ceres4","TCP-LIVE","27","1","601071"</v>
      </c>
      <c r="G277" t="str">
        <f>"601071"</f>
        <v>601071</v>
      </c>
      <c r="H277" t="str">
        <f>"Snack - Rice Krispies Treats"</f>
        <v>Snack - Rice Krispies Treats</v>
      </c>
      <c r="I277" s="5" t="str">
        <f>"CS"</f>
        <v>CS</v>
      </c>
      <c r="J277" s="5">
        <v>72</v>
      </c>
      <c r="K277" s="5">
        <v>0.19</v>
      </c>
      <c r="L277">
        <f t="shared" ref="L277" si="596">IFERROR(IF(K277*J277=0,"0",K277*J277),0)</f>
        <v>13.68</v>
      </c>
      <c r="M277" s="5">
        <v>0</v>
      </c>
      <c r="N277" t="str">
        <f t="shared" ref="N277" si="597">IF(M277*J277=0,"0",M277*J277)</f>
        <v>0</v>
      </c>
      <c r="O277" s="5">
        <v>1</v>
      </c>
      <c r="P277" s="5">
        <v>0</v>
      </c>
      <c r="Q277" s="5">
        <f t="shared" ref="Q277" si="598">P277*O277</f>
        <v>0</v>
      </c>
      <c r="R277" s="6">
        <f t="shared" ref="R277" si="599">IFERROR(Q277+N277+L277,"")</f>
        <v>13.68</v>
      </c>
    </row>
    <row r="278" spans="1:18" x14ac:dyDescent="0.25">
      <c r="A278" t="s">
        <v>27</v>
      </c>
      <c r="B278" t="str">
        <f t="shared" ref="B278" si="600">IF($G277="","Hide","Show")</f>
        <v>Show</v>
      </c>
      <c r="H278" t="str">
        <f>"72 count"</f>
        <v>72 count</v>
      </c>
    </row>
    <row r="279" spans="1:18" x14ac:dyDescent="0.25">
      <c r="A279" t="s">
        <v>27</v>
      </c>
      <c r="B279" t="str">
        <f t="shared" si="580"/>
        <v>Show</v>
      </c>
      <c r="E279" s="1"/>
      <c r="F279" t="str">
        <f>"""Ceres4"",""TCP-LIVE"",""27"",""1"",""601228"""</f>
        <v>"Ceres4","TCP-LIVE","27","1","601228"</v>
      </c>
      <c r="G279" t="str">
        <f>"601228"</f>
        <v>601228</v>
      </c>
      <c r="H279" t="str">
        <f>"Snack - Rice Krispies Treats"</f>
        <v>Snack - Rice Krispies Treats</v>
      </c>
      <c r="I279" s="5" t="str">
        <f>"CS"</f>
        <v>CS</v>
      </c>
      <c r="J279" s="5">
        <v>8</v>
      </c>
      <c r="K279" s="5">
        <v>0.19</v>
      </c>
      <c r="L279">
        <f t="shared" ref="L279" si="601">IFERROR(IF(K279*J279=0,"0",K279*J279),0)</f>
        <v>1.52</v>
      </c>
      <c r="M279" s="5">
        <v>0</v>
      </c>
      <c r="N279" t="str">
        <f t="shared" ref="N279" si="602">IF(M279*J279=0,"0",M279*J279)</f>
        <v>0</v>
      </c>
      <c r="O279" s="5">
        <v>1</v>
      </c>
      <c r="P279" s="5">
        <v>0</v>
      </c>
      <c r="Q279" s="5">
        <f t="shared" ref="Q279" si="603">P279*O279</f>
        <v>0</v>
      </c>
      <c r="R279" s="6">
        <f t="shared" ref="R279" si="604">IFERROR(Q279+N279+L279,"")</f>
        <v>1.52</v>
      </c>
    </row>
    <row r="280" spans="1:18" x14ac:dyDescent="0.25">
      <c r="A280" t="s">
        <v>27</v>
      </c>
      <c r="B280" t="str">
        <f t="shared" ref="B280" si="605">IF($G279="","Hide","Show")</f>
        <v>Show</v>
      </c>
      <c r="H280" t="str">
        <f>"8-8/1 oz"</f>
        <v>8-8/1 oz</v>
      </c>
    </row>
    <row r="281" spans="1:18" x14ac:dyDescent="0.25">
      <c r="A281" t="s">
        <v>27</v>
      </c>
      <c r="B281" t="str">
        <f t="shared" si="580"/>
        <v>Show</v>
      </c>
      <c r="E281" s="1"/>
      <c r="F281" t="str">
        <f>"""Ceres4"",""TCP-LIVE"",""27"",""1"",""601314"""</f>
        <v>"Ceres4","TCP-LIVE","27","1","601314"</v>
      </c>
      <c r="G281" t="str">
        <f>"601314"</f>
        <v>601314</v>
      </c>
      <c r="H281" t="str">
        <f>"Snack - Chex Mix"</f>
        <v>Snack - Chex Mix</v>
      </c>
      <c r="I281" s="5" t="str">
        <f>"CS"</f>
        <v>CS</v>
      </c>
      <c r="J281" s="5">
        <v>6</v>
      </c>
      <c r="K281" s="5">
        <v>0.19</v>
      </c>
      <c r="L281">
        <f t="shared" ref="L281" si="606">IFERROR(IF(K281*J281=0,"0",K281*J281),0)</f>
        <v>1.1400000000000001</v>
      </c>
      <c r="M281" s="5">
        <v>0</v>
      </c>
      <c r="N281" t="str">
        <f t="shared" ref="N281" si="607">IF(M281*J281=0,"0",M281*J281)</f>
        <v>0</v>
      </c>
      <c r="O281" s="5">
        <v>1</v>
      </c>
      <c r="P281" s="5">
        <v>0</v>
      </c>
      <c r="Q281" s="5">
        <f t="shared" ref="Q281" si="608">P281*O281</f>
        <v>0</v>
      </c>
      <c r="R281" s="6">
        <f t="shared" ref="R281" si="609">IFERROR(Q281+N281+L281,"")</f>
        <v>1.1400000000000001</v>
      </c>
    </row>
    <row r="282" spans="1:18" x14ac:dyDescent="0.25">
      <c r="A282" t="s">
        <v>27</v>
      </c>
      <c r="B282" t="str">
        <f t="shared" ref="B282" si="610">IF($G281="","Hide","Show")</f>
        <v>Show</v>
      </c>
      <c r="H282" t="str">
        <f>"3-28 oz"</f>
        <v>3-28 oz</v>
      </c>
    </row>
    <row r="283" spans="1:18" x14ac:dyDescent="0.25">
      <c r="A283" t="s">
        <v>27</v>
      </c>
      <c r="B283" t="str">
        <f t="shared" si="580"/>
        <v>Show</v>
      </c>
      <c r="E283" s="1"/>
      <c r="F283" t="str">
        <f>"""Ceres4"",""TCP-LIVE"",""27"",""1"",""601387"""</f>
        <v>"Ceres4","TCP-LIVE","27","1","601387"</v>
      </c>
      <c r="G283" t="str">
        <f>"601387"</f>
        <v>601387</v>
      </c>
      <c r="H283" t="str">
        <f>"Snack - Variety Pack Cookies"</f>
        <v>Snack - Variety Pack Cookies</v>
      </c>
      <c r="I283" s="5" t="str">
        <f>"CS"</f>
        <v>CS</v>
      </c>
      <c r="J283" s="5">
        <v>5</v>
      </c>
      <c r="K283" s="5">
        <v>0.19</v>
      </c>
      <c r="L283">
        <f t="shared" ref="L283" si="611">IFERROR(IF(K283*J283=0,"0",K283*J283),0)</f>
        <v>0.95</v>
      </c>
      <c r="M283" s="5">
        <v>0</v>
      </c>
      <c r="N283" t="str">
        <f t="shared" ref="N283" si="612">IF(M283*J283=0,"0",M283*J283)</f>
        <v>0</v>
      </c>
      <c r="O283" s="5">
        <v>1</v>
      </c>
      <c r="P283" s="5">
        <v>0</v>
      </c>
      <c r="Q283" s="5">
        <f t="shared" ref="Q283" si="613">P283*O283</f>
        <v>0</v>
      </c>
      <c r="R283" s="6">
        <f t="shared" ref="R283" si="614">IFERROR(Q283+N283+L283,"")</f>
        <v>0.95</v>
      </c>
    </row>
    <row r="284" spans="1:18" x14ac:dyDescent="0.25">
      <c r="A284" t="s">
        <v>27</v>
      </c>
      <c r="B284" t="str">
        <f t="shared" ref="B284" si="615">IF($G283="","Hide","Show")</f>
        <v>Show</v>
      </c>
      <c r="H284" t="str">
        <f>"4-12 oz"</f>
        <v>4-12 oz</v>
      </c>
    </row>
    <row r="285" spans="1:18" x14ac:dyDescent="0.25">
      <c r="A285" t="s">
        <v>27</v>
      </c>
      <c r="B285" t="str">
        <f t="shared" si="580"/>
        <v>Show</v>
      </c>
      <c r="E285" s="1"/>
      <c r="F285" t="str">
        <f>"""Ceres4"",""TCP-LIVE"",""27"",""1"",""601775"""</f>
        <v>"Ceres4","TCP-LIVE","27","1","601775"</v>
      </c>
      <c r="G285" t="str">
        <f>"601775"</f>
        <v>601775</v>
      </c>
      <c r="H285" t="str">
        <f>"Snack - Granola Bar Oat and Honey"</f>
        <v>Snack - Granola Bar Oat and Honey</v>
      </c>
      <c r="I285" s="5" t="str">
        <f>"CS"</f>
        <v>CS</v>
      </c>
      <c r="J285" s="5">
        <v>6</v>
      </c>
      <c r="K285" s="5">
        <v>0.19</v>
      </c>
      <c r="L285">
        <f t="shared" ref="L285" si="616">IFERROR(IF(K285*J285=0,"0",K285*J285),0)</f>
        <v>1.1400000000000001</v>
      </c>
      <c r="M285" s="5">
        <v>0</v>
      </c>
      <c r="N285" t="str">
        <f t="shared" ref="N285" si="617">IF(M285*J285=0,"0",M285*J285)</f>
        <v>0</v>
      </c>
      <c r="O285" s="5">
        <v>1</v>
      </c>
      <c r="P285" s="5">
        <v>0</v>
      </c>
      <c r="Q285" s="5">
        <f t="shared" ref="Q285" si="618">P285*O285</f>
        <v>0</v>
      </c>
      <c r="R285" s="6">
        <f t="shared" ref="R285" si="619">IFERROR(Q285+N285+L285,"")</f>
        <v>1.1400000000000001</v>
      </c>
    </row>
    <row r="286" spans="1:18" x14ac:dyDescent="0.25">
      <c r="A286" t="s">
        <v>27</v>
      </c>
      <c r="B286" t="str">
        <f t="shared" ref="B286" si="620">IF($G285="","Hide","Show")</f>
        <v>Show</v>
      </c>
      <c r="H286" t="str">
        <f>"12-7 oz"</f>
        <v>12-7 oz</v>
      </c>
    </row>
    <row r="287" spans="1:18" x14ac:dyDescent="0.25">
      <c r="A287" t="s">
        <v>27</v>
      </c>
      <c r="B287" t="str">
        <f t="shared" ref="B287" si="621">IF($G271="","Hide","Show")</f>
        <v>Show</v>
      </c>
    </row>
    <row r="288" spans="1:18" ht="17.25" hidden="1" x14ac:dyDescent="0.3">
      <c r="A288" t="s">
        <v>27</v>
      </c>
      <c r="B288" t="str">
        <f t="shared" ref="B288" si="622">IF($G289="","Hide","Show")</f>
        <v>Hide</v>
      </c>
      <c r="C288" t="str">
        <f>"""Ceres4"",""TCP-LIVE"",""14012281"",""1"",""SOUP"""</f>
        <v>"Ceres4","TCP-LIVE","14012281","1","SOUP"</v>
      </c>
      <c r="D288" t="s">
        <v>61</v>
      </c>
      <c r="E288" s="9" t="s">
        <v>10</v>
      </c>
      <c r="F288" s="2"/>
      <c r="G288" s="8" t="s">
        <v>65</v>
      </c>
    </row>
    <row r="289" spans="1:18" hidden="1" x14ac:dyDescent="0.25">
      <c r="A289" t="s">
        <v>27</v>
      </c>
      <c r="B289" t="str">
        <f t="shared" ref="B289" si="623">IF($G289="","Hide","Show")</f>
        <v>Hide</v>
      </c>
      <c r="E289" s="1"/>
      <c r="F289" t="s">
        <v>28</v>
      </c>
      <c r="G289" t="s">
        <v>28</v>
      </c>
      <c r="H289" t="s">
        <v>28</v>
      </c>
      <c r="I289" s="5" t="s">
        <v>28</v>
      </c>
      <c r="J289" s="5" t="s">
        <v>28</v>
      </c>
      <c r="K289" s="5" t="s">
        <v>66</v>
      </c>
      <c r="L289">
        <f t="shared" ref="L289" si="624">IFERROR(IF(K289*J289=0,"0",K289*J289),0)</f>
        <v>0</v>
      </c>
      <c r="M289" s="5" t="s">
        <v>28</v>
      </c>
      <c r="N289" t="e">
        <f t="shared" ref="N289" si="625">IF(M289*J289=0,"0",M289*J289)</f>
        <v>#VALUE!</v>
      </c>
      <c r="O289" s="5" t="s">
        <v>28</v>
      </c>
      <c r="P289" s="5" t="s">
        <v>28</v>
      </c>
      <c r="Q289" s="5" t="e">
        <f t="shared" ref="Q289" si="626">P289*O289</f>
        <v>#VALUE!</v>
      </c>
      <c r="R289" s="6" t="str">
        <f t="shared" ref="R289" si="627">IFERROR(Q289+N289+L289,"")</f>
        <v/>
      </c>
    </row>
    <row r="290" spans="1:18" hidden="1" x14ac:dyDescent="0.25">
      <c r="A290" t="s">
        <v>27</v>
      </c>
      <c r="B290" t="str">
        <f t="shared" ref="B290" si="628">IF($G289="","Hide","Show")</f>
        <v>Hide</v>
      </c>
      <c r="H290" t="s">
        <v>28</v>
      </c>
    </row>
    <row r="291" spans="1:18" hidden="1" x14ac:dyDescent="0.25">
      <c r="A291" t="s">
        <v>27</v>
      </c>
      <c r="B291" t="str">
        <f t="shared" ref="B291" si="629">IF($G289="","Hide","Show")</f>
        <v>Hide</v>
      </c>
    </row>
  </sheetData>
  <mergeCells count="4">
    <mergeCell ref="C4:R4"/>
    <mergeCell ref="G6:H6"/>
    <mergeCell ref="G8:H8"/>
    <mergeCell ref="C3:R3"/>
  </mergeCells>
  <printOptions gridLines="1"/>
  <pageMargins left="0.25" right="0.25" top="0.75" bottom="0.75" header="0.3" footer="0.3"/>
  <pageSetup orientation="portrait" r:id="rId1"/>
  <rowBreaks count="1" manualBreakCount="1">
    <brk id="23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2" workbookViewId="0"/>
  </sheetViews>
  <sheetFormatPr defaultRowHeight="15" x14ac:dyDescent="0.25"/>
  <cols>
    <col min="1" max="1" width="9.140625" hidden="1" customWidth="1"/>
  </cols>
  <sheetData>
    <row r="1" spans="1:1" hidden="1" x14ac:dyDescent="0.25">
      <c r="A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Baldwin</dc:creator>
  <cp:lastModifiedBy>Cheif Operating</cp:lastModifiedBy>
  <cp:lastPrinted>2013-11-07T23:23:16Z</cp:lastPrinted>
  <dcterms:created xsi:type="dcterms:W3CDTF">2013-03-28T16:24:23Z</dcterms:created>
  <dcterms:modified xsi:type="dcterms:W3CDTF">2018-04-11T14:39:58Z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</Properties>
</file>