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ommon\Shopping List\"/>
    </mc:Choice>
  </mc:AlternateContent>
  <bookViews>
    <workbookView xWindow="480" yWindow="120" windowWidth="24720" windowHeight="12195"/>
  </bookViews>
  <sheets>
    <sheet name="Sheet2" sheetId="2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22" i="2" l="1"/>
  <c r="F24" i="2"/>
  <c r="F26" i="2"/>
  <c r="Q22" i="2" l="1"/>
  <c r="B24" i="2"/>
  <c r="B25" i="2"/>
  <c r="L24" i="2"/>
  <c r="N24" i="2"/>
  <c r="Q26" i="2"/>
  <c r="B23" i="2"/>
  <c r="B22" i="2"/>
  <c r="L22" i="2"/>
  <c r="N22" i="2"/>
  <c r="Q24" i="2"/>
  <c r="B27" i="2"/>
  <c r="B26" i="2"/>
  <c r="L26" i="2"/>
  <c r="N26" i="2"/>
  <c r="H35" i="2"/>
  <c r="H36" i="2"/>
  <c r="H37" i="2"/>
  <c r="H38" i="2"/>
  <c r="H39" i="2"/>
  <c r="H40" i="2"/>
  <c r="H41" i="2"/>
  <c r="H42" i="2"/>
  <c r="H43" i="2"/>
  <c r="H44" i="2"/>
  <c r="H45" i="2"/>
  <c r="H34" i="2"/>
  <c r="I34" i="2"/>
  <c r="I36" i="2"/>
  <c r="I38" i="2"/>
  <c r="I40" i="2"/>
  <c r="I42" i="2"/>
  <c r="I44" i="2"/>
  <c r="G34" i="2"/>
  <c r="G36" i="2"/>
  <c r="G38" i="2"/>
  <c r="G40" i="2"/>
  <c r="G42" i="2"/>
  <c r="G44" i="2"/>
  <c r="R24" i="2" l="1"/>
  <c r="R26" i="2"/>
  <c r="R22" i="2"/>
  <c r="F36" i="2"/>
  <c r="F38" i="2"/>
  <c r="F40" i="2"/>
  <c r="F42" i="2"/>
  <c r="F44" i="2"/>
  <c r="B45" i="2"/>
  <c r="Q44" i="2"/>
  <c r="N44" i="2"/>
  <c r="B44" i="2"/>
  <c r="B43" i="2"/>
  <c r="Q42" i="2"/>
  <c r="N42" i="2"/>
  <c r="B42" i="2"/>
  <c r="B41" i="2"/>
  <c r="Q40" i="2"/>
  <c r="N40" i="2"/>
  <c r="B40" i="2"/>
  <c r="B39" i="2"/>
  <c r="Q38" i="2"/>
  <c r="N38" i="2"/>
  <c r="B38" i="2"/>
  <c r="B37" i="2"/>
  <c r="Q36" i="2"/>
  <c r="N36" i="2"/>
  <c r="B36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I48" i="2"/>
  <c r="I50" i="2"/>
  <c r="I52" i="2"/>
  <c r="I54" i="2"/>
  <c r="I56" i="2"/>
  <c r="I58" i="2"/>
  <c r="I60" i="2"/>
  <c r="G48" i="2"/>
  <c r="G50" i="2"/>
  <c r="G52" i="2"/>
  <c r="G54" i="2"/>
  <c r="G56" i="2"/>
  <c r="G58" i="2"/>
  <c r="G60" i="2"/>
  <c r="L38" i="2" l="1"/>
  <c r="R38" i="2" s="1"/>
  <c r="L42" i="2"/>
  <c r="R42" i="2" s="1"/>
  <c r="L36" i="2"/>
  <c r="R36" i="2" s="1"/>
  <c r="L40" i="2"/>
  <c r="R40" i="2" s="1"/>
  <c r="L44" i="2"/>
  <c r="R44" i="2" s="1"/>
  <c r="F48" i="2"/>
  <c r="F50" i="2"/>
  <c r="F52" i="2"/>
  <c r="F54" i="2"/>
  <c r="F56" i="2"/>
  <c r="F58" i="2"/>
  <c r="F60" i="2"/>
  <c r="B61" i="2"/>
  <c r="Q60" i="2"/>
  <c r="N60" i="2"/>
  <c r="B60" i="2"/>
  <c r="B59" i="2"/>
  <c r="Q58" i="2"/>
  <c r="N58" i="2"/>
  <c r="B58" i="2"/>
  <c r="B57" i="2"/>
  <c r="Q56" i="2"/>
  <c r="N56" i="2"/>
  <c r="B56" i="2"/>
  <c r="B55" i="2"/>
  <c r="Q54" i="2"/>
  <c r="N54" i="2"/>
  <c r="B54" i="2"/>
  <c r="B53" i="2"/>
  <c r="Q52" i="2"/>
  <c r="N52" i="2"/>
  <c r="B52" i="2"/>
  <c r="B51" i="2"/>
  <c r="Q50" i="2"/>
  <c r="N50" i="2"/>
  <c r="B50" i="2"/>
  <c r="B49" i="2"/>
  <c r="Q48" i="2"/>
  <c r="N48" i="2"/>
  <c r="B48" i="2"/>
  <c r="F66" i="2"/>
  <c r="B66" i="2" l="1"/>
  <c r="B67" i="2"/>
  <c r="N66" i="2"/>
  <c r="L52" i="2"/>
  <c r="R52" i="2" s="1"/>
  <c r="Q66" i="2"/>
  <c r="L50" i="2"/>
  <c r="R50" i="2" s="1"/>
  <c r="L54" i="2"/>
  <c r="L58" i="2"/>
  <c r="L66" i="2"/>
  <c r="L48" i="2"/>
  <c r="R48" i="2" s="1"/>
  <c r="L56" i="2"/>
  <c r="R56" i="2" s="1"/>
  <c r="L60" i="2"/>
  <c r="R60" i="2" s="1"/>
  <c r="R54" i="2"/>
  <c r="R58" i="2"/>
  <c r="F72" i="2"/>
  <c r="F74" i="2"/>
  <c r="F76" i="2"/>
  <c r="Q72" i="2" l="1"/>
  <c r="B75" i="2"/>
  <c r="B74" i="2"/>
  <c r="B73" i="2"/>
  <c r="B72" i="2"/>
  <c r="L72" i="2"/>
  <c r="N72" i="2"/>
  <c r="Q74" i="2"/>
  <c r="B76" i="2"/>
  <c r="B77" i="2"/>
  <c r="L76" i="2"/>
  <c r="N76" i="2"/>
  <c r="L74" i="2"/>
  <c r="N74" i="2"/>
  <c r="Q76" i="2"/>
  <c r="R66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84" i="2"/>
  <c r="I84" i="2"/>
  <c r="I86" i="2"/>
  <c r="I88" i="2"/>
  <c r="I90" i="2"/>
  <c r="I92" i="2"/>
  <c r="I94" i="2"/>
  <c r="I96" i="2"/>
  <c r="G84" i="2"/>
  <c r="G86" i="2"/>
  <c r="G88" i="2"/>
  <c r="G90" i="2"/>
  <c r="G92" i="2"/>
  <c r="G94" i="2"/>
  <c r="G96" i="2"/>
  <c r="R76" i="2" l="1"/>
  <c r="R74" i="2"/>
  <c r="R72" i="2"/>
  <c r="F86" i="2"/>
  <c r="F88" i="2"/>
  <c r="F90" i="2"/>
  <c r="F92" i="2"/>
  <c r="F94" i="2"/>
  <c r="F96" i="2"/>
  <c r="B97" i="2"/>
  <c r="Q96" i="2"/>
  <c r="N96" i="2"/>
  <c r="B96" i="2"/>
  <c r="B95" i="2"/>
  <c r="Q94" i="2"/>
  <c r="N94" i="2"/>
  <c r="B94" i="2"/>
  <c r="B93" i="2"/>
  <c r="Q92" i="2"/>
  <c r="N92" i="2"/>
  <c r="B92" i="2"/>
  <c r="B91" i="2"/>
  <c r="Q90" i="2"/>
  <c r="N90" i="2"/>
  <c r="B90" i="2"/>
  <c r="B89" i="2"/>
  <c r="Q88" i="2"/>
  <c r="N88" i="2"/>
  <c r="B88" i="2"/>
  <c r="B87" i="2"/>
  <c r="Q86" i="2"/>
  <c r="N86" i="2"/>
  <c r="B86" i="2"/>
  <c r="H101" i="2"/>
  <c r="H102" i="2"/>
  <c r="H103" i="2"/>
  <c r="H104" i="2"/>
  <c r="H105" i="2"/>
  <c r="H106" i="2"/>
  <c r="H107" i="2"/>
  <c r="H108" i="2"/>
  <c r="H109" i="2"/>
  <c r="H100" i="2"/>
  <c r="I100" i="2"/>
  <c r="I102" i="2"/>
  <c r="I104" i="2"/>
  <c r="I106" i="2"/>
  <c r="I108" i="2"/>
  <c r="G100" i="2"/>
  <c r="G102" i="2"/>
  <c r="G104" i="2"/>
  <c r="G106" i="2"/>
  <c r="G108" i="2"/>
  <c r="L88" i="2" l="1"/>
  <c r="R88" i="2" s="1"/>
  <c r="L92" i="2"/>
  <c r="R92" i="2" s="1"/>
  <c r="L96" i="2"/>
  <c r="R96" i="2" s="1"/>
  <c r="L86" i="2"/>
  <c r="R86" i="2" s="1"/>
  <c r="L90" i="2"/>
  <c r="R90" i="2" s="1"/>
  <c r="L94" i="2"/>
  <c r="R94" i="2" s="1"/>
  <c r="F102" i="2"/>
  <c r="F104" i="2"/>
  <c r="F106" i="2"/>
  <c r="F108" i="2"/>
  <c r="B109" i="2"/>
  <c r="Q108" i="2"/>
  <c r="N108" i="2"/>
  <c r="B108" i="2"/>
  <c r="B107" i="2"/>
  <c r="Q106" i="2"/>
  <c r="N106" i="2"/>
  <c r="B106" i="2"/>
  <c r="B105" i="2"/>
  <c r="Q104" i="2"/>
  <c r="N104" i="2"/>
  <c r="B104" i="2"/>
  <c r="B103" i="2"/>
  <c r="Q102" i="2"/>
  <c r="N102" i="2"/>
  <c r="B102" i="2"/>
  <c r="L102" i="2" l="1"/>
  <c r="L106" i="2"/>
  <c r="L104" i="2"/>
  <c r="L108" i="2"/>
  <c r="R102" i="2"/>
  <c r="R106" i="2"/>
  <c r="R104" i="2"/>
  <c r="R108" i="2"/>
  <c r="F118" i="2"/>
  <c r="B119" i="2" l="1"/>
  <c r="B118" i="2"/>
  <c r="L118" i="2"/>
  <c r="N118" i="2"/>
  <c r="Q118" i="2"/>
  <c r="R118" i="2" s="1"/>
  <c r="F122" i="2"/>
  <c r="Q122" i="2" l="1"/>
  <c r="B123" i="2"/>
  <c r="B122" i="2"/>
  <c r="L122" i="2"/>
  <c r="N122" i="2"/>
  <c r="F152" i="2"/>
  <c r="F154" i="2"/>
  <c r="B155" i="2" l="1"/>
  <c r="B154" i="2"/>
  <c r="L154" i="2"/>
  <c r="N154" i="2"/>
  <c r="B152" i="2"/>
  <c r="B153" i="2"/>
  <c r="L152" i="2"/>
  <c r="N152" i="2"/>
  <c r="Q154" i="2"/>
  <c r="Q152" i="2"/>
  <c r="R122" i="2"/>
  <c r="F168" i="2"/>
  <c r="R152" i="2" l="1"/>
  <c r="B168" i="2"/>
  <c r="B169" i="2"/>
  <c r="L168" i="2"/>
  <c r="N168" i="2"/>
  <c r="Q168" i="2"/>
  <c r="R154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I180" i="2"/>
  <c r="I182" i="2"/>
  <c r="I184" i="2"/>
  <c r="I186" i="2"/>
  <c r="I188" i="2"/>
  <c r="I190" i="2"/>
  <c r="I192" i="2"/>
  <c r="I194" i="2"/>
  <c r="I196" i="2"/>
  <c r="I198" i="2"/>
  <c r="I200" i="2"/>
  <c r="I202" i="2"/>
  <c r="I204" i="2"/>
  <c r="I206" i="2"/>
  <c r="I208" i="2"/>
  <c r="I210" i="2"/>
  <c r="I212" i="2"/>
  <c r="I214" i="2"/>
  <c r="I216" i="2"/>
  <c r="I218" i="2"/>
  <c r="I220" i="2"/>
  <c r="I222" i="2"/>
  <c r="I224" i="2"/>
  <c r="I226" i="2"/>
  <c r="G180" i="2"/>
  <c r="B180" i="2" s="1"/>
  <c r="G182" i="2"/>
  <c r="B182" i="2" s="1"/>
  <c r="G184" i="2"/>
  <c r="G186" i="2"/>
  <c r="B187" i="2" s="1"/>
  <c r="G188" i="2"/>
  <c r="B188" i="2" s="1"/>
  <c r="G190" i="2"/>
  <c r="B190" i="2" s="1"/>
  <c r="G192" i="2"/>
  <c r="B192" i="2" s="1"/>
  <c r="G194" i="2"/>
  <c r="B195" i="2" s="1"/>
  <c r="G196" i="2"/>
  <c r="B196" i="2" s="1"/>
  <c r="G198" i="2"/>
  <c r="B198" i="2" s="1"/>
  <c r="G200" i="2"/>
  <c r="B201" i="2" s="1"/>
  <c r="G202" i="2"/>
  <c r="B202" i="2" s="1"/>
  <c r="G204" i="2"/>
  <c r="B204" i="2" s="1"/>
  <c r="G206" i="2"/>
  <c r="B206" i="2" s="1"/>
  <c r="G208" i="2"/>
  <c r="G210" i="2"/>
  <c r="B211" i="2" s="1"/>
  <c r="G212" i="2"/>
  <c r="B212" i="2" s="1"/>
  <c r="G214" i="2"/>
  <c r="B214" i="2" s="1"/>
  <c r="G216" i="2"/>
  <c r="B217" i="2" s="1"/>
  <c r="G218" i="2"/>
  <c r="B218" i="2" s="1"/>
  <c r="G220" i="2"/>
  <c r="B220" i="2" s="1"/>
  <c r="G222" i="2"/>
  <c r="B222" i="2" s="1"/>
  <c r="G224" i="2"/>
  <c r="B224" i="2" s="1"/>
  <c r="G226" i="2"/>
  <c r="B227" i="2" s="1"/>
  <c r="F180" i="2"/>
  <c r="F182" i="2"/>
  <c r="F184" i="2"/>
  <c r="F186" i="2"/>
  <c r="F188" i="2"/>
  <c r="F190" i="2"/>
  <c r="F192" i="2"/>
  <c r="F194" i="2"/>
  <c r="F196" i="2"/>
  <c r="F198" i="2"/>
  <c r="F200" i="2"/>
  <c r="F202" i="2"/>
  <c r="F204" i="2"/>
  <c r="F206" i="2"/>
  <c r="F208" i="2"/>
  <c r="F210" i="2"/>
  <c r="F212" i="2"/>
  <c r="F214" i="2"/>
  <c r="F216" i="2"/>
  <c r="F218" i="2"/>
  <c r="F220" i="2"/>
  <c r="F222" i="2"/>
  <c r="F224" i="2"/>
  <c r="F226" i="2"/>
  <c r="Q226" i="2"/>
  <c r="N226" i="2"/>
  <c r="B226" i="2"/>
  <c r="B225" i="2"/>
  <c r="Q224" i="2"/>
  <c r="N224" i="2"/>
  <c r="Q222" i="2"/>
  <c r="N222" i="2"/>
  <c r="Q220" i="2"/>
  <c r="N220" i="2"/>
  <c r="B219" i="2"/>
  <c r="Q218" i="2"/>
  <c r="N218" i="2"/>
  <c r="Q216" i="2"/>
  <c r="N216" i="2"/>
  <c r="B216" i="2"/>
  <c r="Q214" i="2"/>
  <c r="N214" i="2"/>
  <c r="Q212" i="2"/>
  <c r="N212" i="2"/>
  <c r="Q210" i="2"/>
  <c r="N210" i="2"/>
  <c r="B210" i="2"/>
  <c r="B209" i="2"/>
  <c r="Q208" i="2"/>
  <c r="N208" i="2"/>
  <c r="B208" i="2"/>
  <c r="Q206" i="2"/>
  <c r="N206" i="2"/>
  <c r="Q204" i="2"/>
  <c r="N204" i="2"/>
  <c r="B203" i="2"/>
  <c r="Q202" i="2"/>
  <c r="N202" i="2"/>
  <c r="Q200" i="2"/>
  <c r="N200" i="2"/>
  <c r="B200" i="2"/>
  <c r="Q198" i="2"/>
  <c r="N198" i="2"/>
  <c r="Q196" i="2"/>
  <c r="N196" i="2"/>
  <c r="Q194" i="2"/>
  <c r="N194" i="2"/>
  <c r="B194" i="2"/>
  <c r="B193" i="2"/>
  <c r="Q192" i="2"/>
  <c r="N192" i="2"/>
  <c r="Q190" i="2"/>
  <c r="N190" i="2"/>
  <c r="Q188" i="2"/>
  <c r="N188" i="2"/>
  <c r="Q186" i="2"/>
  <c r="N186" i="2"/>
  <c r="B186" i="2"/>
  <c r="B185" i="2"/>
  <c r="Q184" i="2"/>
  <c r="N184" i="2"/>
  <c r="B184" i="2"/>
  <c r="Q182" i="2"/>
  <c r="N182" i="2"/>
  <c r="Q180" i="2"/>
  <c r="N180" i="2"/>
  <c r="F232" i="2"/>
  <c r="B189" i="2" l="1"/>
  <c r="B205" i="2"/>
  <c r="B181" i="2"/>
  <c r="B213" i="2"/>
  <c r="B221" i="2"/>
  <c r="B197" i="2"/>
  <c r="B183" i="2"/>
  <c r="B191" i="2"/>
  <c r="B199" i="2"/>
  <c r="B207" i="2"/>
  <c r="B215" i="2"/>
  <c r="B223" i="2"/>
  <c r="R168" i="2"/>
  <c r="Q232" i="2"/>
  <c r="L182" i="2"/>
  <c r="L186" i="2"/>
  <c r="R186" i="2" s="1"/>
  <c r="L190" i="2"/>
  <c r="R190" i="2" s="1"/>
  <c r="L194" i="2"/>
  <c r="L198" i="2"/>
  <c r="R198" i="2" s="1"/>
  <c r="L202" i="2"/>
  <c r="R202" i="2" s="1"/>
  <c r="L206" i="2"/>
  <c r="R206" i="2" s="1"/>
  <c r="L210" i="2"/>
  <c r="L214" i="2"/>
  <c r="R214" i="2" s="1"/>
  <c r="L218" i="2"/>
  <c r="R218" i="2" s="1"/>
  <c r="L222" i="2"/>
  <c r="R222" i="2" s="1"/>
  <c r="L226" i="2"/>
  <c r="R226" i="2" s="1"/>
  <c r="B233" i="2"/>
  <c r="B232" i="2"/>
  <c r="L232" i="2"/>
  <c r="N232" i="2"/>
  <c r="L180" i="2"/>
  <c r="L184" i="2"/>
  <c r="L188" i="2"/>
  <c r="L192" i="2"/>
  <c r="R192" i="2" s="1"/>
  <c r="L196" i="2"/>
  <c r="R196" i="2" s="1"/>
  <c r="L200" i="2"/>
  <c r="R200" i="2" s="1"/>
  <c r="L204" i="2"/>
  <c r="R204" i="2" s="1"/>
  <c r="L208" i="2"/>
  <c r="R208" i="2" s="1"/>
  <c r="L212" i="2"/>
  <c r="R212" i="2" s="1"/>
  <c r="L216" i="2"/>
  <c r="R216" i="2" s="1"/>
  <c r="L220" i="2"/>
  <c r="R220" i="2" s="1"/>
  <c r="L224" i="2"/>
  <c r="R224" i="2" s="1"/>
  <c r="R180" i="2"/>
  <c r="R184" i="2"/>
  <c r="R188" i="2"/>
  <c r="R194" i="2"/>
  <c r="R210" i="2"/>
  <c r="R182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44" i="2"/>
  <c r="I244" i="2"/>
  <c r="I246" i="2"/>
  <c r="I248" i="2"/>
  <c r="I250" i="2"/>
  <c r="I252" i="2"/>
  <c r="I254" i="2"/>
  <c r="I256" i="2"/>
  <c r="I258" i="2"/>
  <c r="I260" i="2"/>
  <c r="I262" i="2"/>
  <c r="I264" i="2"/>
  <c r="I266" i="2"/>
  <c r="G244" i="2"/>
  <c r="G246" i="2"/>
  <c r="G248" i="2"/>
  <c r="G250" i="2"/>
  <c r="G252" i="2"/>
  <c r="G254" i="2"/>
  <c r="G256" i="2"/>
  <c r="G258" i="2"/>
  <c r="G260" i="2"/>
  <c r="G262" i="2"/>
  <c r="G264" i="2"/>
  <c r="G266" i="2"/>
  <c r="R232" i="2" l="1"/>
  <c r="F246" i="2"/>
  <c r="F248" i="2"/>
  <c r="F250" i="2"/>
  <c r="F252" i="2"/>
  <c r="F254" i="2"/>
  <c r="F256" i="2"/>
  <c r="F258" i="2"/>
  <c r="F260" i="2"/>
  <c r="F262" i="2"/>
  <c r="F264" i="2"/>
  <c r="F266" i="2"/>
  <c r="B267" i="2"/>
  <c r="Q266" i="2"/>
  <c r="N266" i="2"/>
  <c r="B266" i="2"/>
  <c r="B265" i="2"/>
  <c r="Q264" i="2"/>
  <c r="N264" i="2"/>
  <c r="B264" i="2"/>
  <c r="B263" i="2"/>
  <c r="Q262" i="2"/>
  <c r="N262" i="2"/>
  <c r="B262" i="2"/>
  <c r="B261" i="2"/>
  <c r="Q260" i="2"/>
  <c r="N260" i="2"/>
  <c r="B260" i="2"/>
  <c r="B259" i="2"/>
  <c r="Q258" i="2"/>
  <c r="N258" i="2"/>
  <c r="B258" i="2"/>
  <c r="B257" i="2"/>
  <c r="Q256" i="2"/>
  <c r="N256" i="2"/>
  <c r="B256" i="2"/>
  <c r="B255" i="2"/>
  <c r="Q254" i="2"/>
  <c r="N254" i="2"/>
  <c r="B254" i="2"/>
  <c r="B253" i="2"/>
  <c r="Q252" i="2"/>
  <c r="N252" i="2"/>
  <c r="B252" i="2"/>
  <c r="B251" i="2"/>
  <c r="Q250" i="2"/>
  <c r="N250" i="2"/>
  <c r="B250" i="2"/>
  <c r="B249" i="2"/>
  <c r="Q248" i="2"/>
  <c r="N248" i="2"/>
  <c r="B248" i="2"/>
  <c r="B247" i="2"/>
  <c r="Q246" i="2"/>
  <c r="N246" i="2"/>
  <c r="B246" i="2"/>
  <c r="L246" i="2" l="1"/>
  <c r="R246" i="2" s="1"/>
  <c r="L250" i="2"/>
  <c r="L254" i="2"/>
  <c r="R254" i="2" s="1"/>
  <c r="L258" i="2"/>
  <c r="R258" i="2" s="1"/>
  <c r="L262" i="2"/>
  <c r="R262" i="2" s="1"/>
  <c r="L266" i="2"/>
  <c r="L248" i="2"/>
  <c r="R248" i="2" s="1"/>
  <c r="L252" i="2"/>
  <c r="R252" i="2" s="1"/>
  <c r="L256" i="2"/>
  <c r="R256" i="2" s="1"/>
  <c r="L260" i="2"/>
  <c r="R260" i="2" s="1"/>
  <c r="L264" i="2"/>
  <c r="R264" i="2" s="1"/>
  <c r="R250" i="2"/>
  <c r="R266" i="2"/>
  <c r="C15" i="2"/>
  <c r="C19" i="2"/>
  <c r="C29" i="2"/>
  <c r="C33" i="2"/>
  <c r="C47" i="2"/>
  <c r="C63" i="2"/>
  <c r="C69" i="2"/>
  <c r="C79" i="2"/>
  <c r="C83" i="2"/>
  <c r="C99" i="2"/>
  <c r="C111" i="2"/>
  <c r="C115" i="2"/>
  <c r="C121" i="2"/>
  <c r="C125" i="2"/>
  <c r="C129" i="2"/>
  <c r="C133" i="2"/>
  <c r="C137" i="2"/>
  <c r="C141" i="2"/>
  <c r="C145" i="2"/>
  <c r="C149" i="2"/>
  <c r="C157" i="2"/>
  <c r="C161" i="2"/>
  <c r="C165" i="2"/>
  <c r="C171" i="2"/>
  <c r="C175" i="2"/>
  <c r="C179" i="2"/>
  <c r="C229" i="2"/>
  <c r="C235" i="2"/>
  <c r="C239" i="2"/>
  <c r="C243" i="2"/>
  <c r="C269" i="2"/>
  <c r="B11" i="2" l="1"/>
  <c r="Q172" i="2" l="1"/>
  <c r="L172" i="2"/>
  <c r="B171" i="2"/>
  <c r="B173" i="2"/>
  <c r="B174" i="2"/>
  <c r="B172" i="2"/>
  <c r="N172" i="2"/>
  <c r="Q84" i="2"/>
  <c r="N84" i="2"/>
  <c r="L84" i="2"/>
  <c r="B83" i="2"/>
  <c r="B98" i="2"/>
  <c r="B85" i="2"/>
  <c r="B84" i="2"/>
  <c r="Q244" i="2"/>
  <c r="L244" i="2"/>
  <c r="B243" i="2"/>
  <c r="B245" i="2"/>
  <c r="B268" i="2"/>
  <c r="B244" i="2"/>
  <c r="N244" i="2"/>
  <c r="Q236" i="2"/>
  <c r="L236" i="2"/>
  <c r="B235" i="2"/>
  <c r="B237" i="2"/>
  <c r="B238" i="2"/>
  <c r="B236" i="2"/>
  <c r="N236" i="2"/>
  <c r="B179" i="2"/>
  <c r="B228" i="2"/>
  <c r="Q162" i="2"/>
  <c r="L162" i="2"/>
  <c r="B161" i="2"/>
  <c r="B163" i="2"/>
  <c r="B164" i="2"/>
  <c r="B162" i="2"/>
  <c r="N162" i="2"/>
  <c r="Q150" i="2"/>
  <c r="N150" i="2"/>
  <c r="L150" i="2"/>
  <c r="B149" i="2"/>
  <c r="B156" i="2"/>
  <c r="B151" i="2"/>
  <c r="B150" i="2"/>
  <c r="Q142" i="2"/>
  <c r="N142" i="2"/>
  <c r="L142" i="2"/>
  <c r="B141" i="2"/>
  <c r="B144" i="2"/>
  <c r="B143" i="2"/>
  <c r="B142" i="2"/>
  <c r="Q16" i="2"/>
  <c r="L16" i="2"/>
  <c r="B15" i="2"/>
  <c r="B18" i="2"/>
  <c r="B17" i="2"/>
  <c r="B16" i="2"/>
  <c r="N16" i="2"/>
  <c r="Q130" i="2"/>
  <c r="N130" i="2"/>
  <c r="L130" i="2"/>
  <c r="B129" i="2"/>
  <c r="B132" i="2"/>
  <c r="B131" i="2"/>
  <c r="B130" i="2"/>
  <c r="B121" i="2"/>
  <c r="B124" i="2"/>
  <c r="Q112" i="2"/>
  <c r="N112" i="2"/>
  <c r="L112" i="2"/>
  <c r="B111" i="2"/>
  <c r="B114" i="2"/>
  <c r="B113" i="2"/>
  <c r="B112" i="2"/>
  <c r="Q70" i="2"/>
  <c r="N70" i="2"/>
  <c r="L70" i="2"/>
  <c r="B69" i="2"/>
  <c r="B78" i="2"/>
  <c r="B71" i="2"/>
  <c r="B70" i="2"/>
  <c r="B47" i="2"/>
  <c r="B62" i="2"/>
  <c r="Q30" i="2"/>
  <c r="N30" i="2"/>
  <c r="L30" i="2"/>
  <c r="B29" i="2"/>
  <c r="B32" i="2"/>
  <c r="B31" i="2"/>
  <c r="B30" i="2"/>
  <c r="Q270" i="2"/>
  <c r="L270" i="2"/>
  <c r="B269" i="2"/>
  <c r="B271" i="2"/>
  <c r="B272" i="2"/>
  <c r="B270" i="2"/>
  <c r="N270" i="2"/>
  <c r="Q240" i="2"/>
  <c r="L240" i="2"/>
  <c r="B239" i="2"/>
  <c r="B241" i="2"/>
  <c r="B242" i="2"/>
  <c r="B240" i="2"/>
  <c r="N240" i="2"/>
  <c r="Q230" i="2"/>
  <c r="L230" i="2"/>
  <c r="B229" i="2"/>
  <c r="B231" i="2"/>
  <c r="B234" i="2"/>
  <c r="B230" i="2"/>
  <c r="N230" i="2"/>
  <c r="Q176" i="2"/>
  <c r="L176" i="2"/>
  <c r="B175" i="2"/>
  <c r="B177" i="2"/>
  <c r="B178" i="2"/>
  <c r="B176" i="2"/>
  <c r="N176" i="2"/>
  <c r="Q166" i="2"/>
  <c r="L166" i="2"/>
  <c r="B165" i="2"/>
  <c r="B167" i="2"/>
  <c r="B170" i="2"/>
  <c r="B166" i="2"/>
  <c r="N166" i="2"/>
  <c r="Q158" i="2"/>
  <c r="N158" i="2"/>
  <c r="L158" i="2"/>
  <c r="B159" i="2"/>
  <c r="B157" i="2"/>
  <c r="B160" i="2"/>
  <c r="B158" i="2"/>
  <c r="Q146" i="2"/>
  <c r="N146" i="2"/>
  <c r="L146" i="2"/>
  <c r="B145" i="2"/>
  <c r="B148" i="2"/>
  <c r="B147" i="2"/>
  <c r="B146" i="2"/>
  <c r="Q138" i="2"/>
  <c r="N138" i="2"/>
  <c r="L138" i="2"/>
  <c r="B140" i="2"/>
  <c r="B139" i="2"/>
  <c r="B138" i="2"/>
  <c r="B137" i="2"/>
  <c r="Q134" i="2"/>
  <c r="N134" i="2"/>
  <c r="L134" i="2"/>
  <c r="B136" i="2"/>
  <c r="B135" i="2"/>
  <c r="B133" i="2"/>
  <c r="B134" i="2"/>
  <c r="Q126" i="2"/>
  <c r="N126" i="2"/>
  <c r="L126" i="2"/>
  <c r="B125" i="2"/>
  <c r="B128" i="2"/>
  <c r="B127" i="2"/>
  <c r="B126" i="2"/>
  <c r="Q116" i="2"/>
  <c r="N116" i="2"/>
  <c r="L116" i="2"/>
  <c r="B115" i="2"/>
  <c r="B120" i="2"/>
  <c r="B117" i="2"/>
  <c r="B116" i="2"/>
  <c r="Q100" i="2"/>
  <c r="N100" i="2"/>
  <c r="L100" i="2"/>
  <c r="B99" i="2"/>
  <c r="B110" i="2"/>
  <c r="B101" i="2"/>
  <c r="B100" i="2"/>
  <c r="Q80" i="2"/>
  <c r="N80" i="2"/>
  <c r="L80" i="2"/>
  <c r="B79" i="2"/>
  <c r="B82" i="2"/>
  <c r="B81" i="2"/>
  <c r="B80" i="2"/>
  <c r="Q64" i="2"/>
  <c r="N64" i="2"/>
  <c r="L64" i="2"/>
  <c r="B63" i="2"/>
  <c r="B68" i="2"/>
  <c r="B65" i="2"/>
  <c r="B64" i="2"/>
  <c r="Q34" i="2"/>
  <c r="N34" i="2"/>
  <c r="L34" i="2"/>
  <c r="B33" i="2"/>
  <c r="B46" i="2"/>
  <c r="B35" i="2"/>
  <c r="B34" i="2"/>
  <c r="Q20" i="2"/>
  <c r="N20" i="2"/>
  <c r="L20" i="2"/>
  <c r="B19" i="2"/>
  <c r="B20" i="2"/>
  <c r="B28" i="2"/>
  <c r="B21" i="2"/>
  <c r="B12" i="2"/>
  <c r="R20" i="2" l="1"/>
  <c r="R34" i="2"/>
  <c r="R80" i="2"/>
  <c r="R116" i="2"/>
  <c r="R134" i="2"/>
  <c r="R146" i="2"/>
  <c r="R166" i="2"/>
  <c r="R230" i="2"/>
  <c r="R270" i="2"/>
  <c r="R112" i="2"/>
  <c r="R130" i="2"/>
  <c r="R142" i="2"/>
  <c r="R162" i="2"/>
  <c r="R236" i="2"/>
  <c r="R84" i="2"/>
  <c r="R64" i="2"/>
  <c r="R100" i="2"/>
  <c r="R126" i="2"/>
  <c r="R138" i="2"/>
  <c r="R158" i="2"/>
  <c r="R176" i="2"/>
  <c r="R240" i="2"/>
  <c r="R30" i="2"/>
  <c r="R70" i="2"/>
  <c r="R16" i="2"/>
  <c r="R150" i="2"/>
  <c r="R244" i="2"/>
  <c r="R172" i="2"/>
  <c r="L12" i="2"/>
  <c r="N12" i="2"/>
  <c r="Q12" i="2"/>
  <c r="B13" i="2"/>
  <c r="B14" i="2"/>
  <c r="R12" i="2" l="1"/>
</calcChain>
</file>

<file path=xl/sharedStrings.xml><?xml version="1.0" encoding="utf-8"?>
<sst xmlns="http://schemas.openxmlformats.org/spreadsheetml/2006/main" count="664" uniqueCount="168">
  <si>
    <t>Auto+Hide</t>
  </si>
  <si>
    <t>Description</t>
  </si>
  <si>
    <t>fit</t>
  </si>
  <si>
    <t>hide</t>
  </si>
  <si>
    <t>Unit Type</t>
  </si>
  <si>
    <t>CAF</t>
  </si>
  <si>
    <t>Quantity</t>
  </si>
  <si>
    <t>Hide</t>
  </si>
  <si>
    <t>Code</t>
  </si>
  <si>
    <t>Key</t>
  </si>
  <si>
    <t>********</t>
  </si>
  <si>
    <t>Item Number</t>
  </si>
  <si>
    <t>Gross Weight</t>
  </si>
  <si>
    <t>key</t>
  </si>
  <si>
    <t>Shared Maintenance Fee</t>
  </si>
  <si>
    <t>Handling</t>
  </si>
  <si>
    <t>Agency:</t>
  </si>
  <si>
    <t>Shopper</t>
  </si>
  <si>
    <t>Purchased cost</t>
  </si>
  <si>
    <t>hide+?</t>
  </si>
  <si>
    <t>Handling/lb</t>
  </si>
  <si>
    <t>VAP/lb</t>
  </si>
  <si>
    <t>Unit</t>
  </si>
  <si>
    <t>VPA</t>
  </si>
  <si>
    <t>Fit</t>
  </si>
  <si>
    <t xml:space="preserve">The Community Pantry Shopping List </t>
  </si>
  <si>
    <t>Auto+Hide+values</t>
  </si>
  <si>
    <t>Auto</t>
  </si>
  <si>
    <t/>
  </si>
  <si>
    <t>"Ceres4","TCP-LIVE","14012281","1","BABY"</t>
  </si>
  <si>
    <t>BABY</t>
  </si>
  <si>
    <t>BAKERY</t>
  </si>
  <si>
    <t>BEVERAGE</t>
  </si>
  <si>
    <t>BREAD</t>
  </si>
  <si>
    <t>CEREAL/BRK</t>
  </si>
  <si>
    <t>CONDIMENT</t>
  </si>
  <si>
    <t>DAIRY</t>
  </si>
  <si>
    <t>DESSERT</t>
  </si>
  <si>
    <t>DRESSING</t>
  </si>
  <si>
    <t>ENTREE</t>
  </si>
  <si>
    <t>FRUIT/ VEG</t>
  </si>
  <si>
    <t>GRAIN</t>
  </si>
  <si>
    <t>HOUSE PAP</t>
  </si>
  <si>
    <t>HOUSE/SAN</t>
  </si>
  <si>
    <t>JUICE</t>
  </si>
  <si>
    <t>MIXED/ASST</t>
  </si>
  <si>
    <t>NF</t>
  </si>
  <si>
    <t>NONDAIRY</t>
  </si>
  <si>
    <t>NUTRITION</t>
  </si>
  <si>
    <t>OTC</t>
  </si>
  <si>
    <t>PASTA</t>
  </si>
  <si>
    <t>PASTRY</t>
  </si>
  <si>
    <t>PER PAP</t>
  </si>
  <si>
    <t>PERSONAL</t>
  </si>
  <si>
    <t>PET</t>
  </si>
  <si>
    <t>PRODUCE</t>
  </si>
  <si>
    <t>PRO-MEAT</t>
  </si>
  <si>
    <t>PRO-NON</t>
  </si>
  <si>
    <t>RICE</t>
  </si>
  <si>
    <t>SALVAGE</t>
  </si>
  <si>
    <t>SNACK</t>
  </si>
  <si>
    <t>SOUP</t>
  </si>
  <si>
    <t>Protein - Non-Meat Products</t>
  </si>
  <si>
    <t>P490018</t>
  </si>
  <si>
    <t>P490035</t>
  </si>
  <si>
    <t>Rice</t>
  </si>
  <si>
    <t>Sorted or Unsorted Salvage Products</t>
  </si>
  <si>
    <t>Snack Products</t>
  </si>
  <si>
    <t>Soup Products</t>
  </si>
  <si>
    <t>CS</t>
  </si>
  <si>
    <t>EA</t>
  </si>
  <si>
    <t>0</t>
  </si>
  <si>
    <t>Non Protein - Creamy Peanut Butter</t>
  </si>
  <si>
    <t>12- 16 oz</t>
  </si>
  <si>
    <t>Protein - Pinto Brcho Seasoned Beans</t>
  </si>
  <si>
    <t>1-7 lb  can</t>
  </si>
  <si>
    <t>"Ceres4","TCP-LIVE","27","1","600053"</t>
  </si>
  <si>
    <t>"Ceres4","TCP-LIVE","27","1","P490018"</t>
  </si>
  <si>
    <t>Grain-based Products</t>
  </si>
  <si>
    <t>Household Paper &amp; Plastic Items</t>
  </si>
  <si>
    <t>959991</t>
  </si>
  <si>
    <t>P950036</t>
  </si>
  <si>
    <t>Household and Sanitation Products</t>
  </si>
  <si>
    <t>P997003</t>
  </si>
  <si>
    <t>Juices</t>
  </si>
  <si>
    <t>Mixed and Assorted Food Products</t>
  </si>
  <si>
    <t>Non-Food Items and Products</t>
  </si>
  <si>
    <t>Non-Dairy Food Item</t>
  </si>
  <si>
    <t>Nutritional Aid Products</t>
  </si>
  <si>
    <t>OTC Pharmaceuticals</t>
  </si>
  <si>
    <t>Pasta Products</t>
  </si>
  <si>
    <t>P650001</t>
  </si>
  <si>
    <t>P650004</t>
  </si>
  <si>
    <t>P669999</t>
  </si>
  <si>
    <t>Pastry Products</t>
  </si>
  <si>
    <t>Personal Paper Products</t>
  </si>
  <si>
    <t>Personal Care Products</t>
  </si>
  <si>
    <t>P970001</t>
  </si>
  <si>
    <t>P997001</t>
  </si>
  <si>
    <t>Pet Foods</t>
  </si>
  <si>
    <t>Produce - Fresh</t>
  </si>
  <si>
    <t>Protein - Meat Products</t>
  </si>
  <si>
    <t>BAG</t>
  </si>
  <si>
    <t>Household - Paper Products</t>
  </si>
  <si>
    <t>100 lb bulk bin</t>
  </si>
  <si>
    <t>Household - Cutlery Forks</t>
  </si>
  <si>
    <t>24- 24 ct</t>
  </si>
  <si>
    <t>Personal Care - X Large Diapers</t>
  </si>
  <si>
    <t>4-44 ct</t>
  </si>
  <si>
    <t>Pasta - Shells and Cheese</t>
  </si>
  <si>
    <t>12- 12 oz</t>
  </si>
  <si>
    <t>Pasta-Pasta Thin Spaghetti</t>
  </si>
  <si>
    <t>20-1 lb</t>
  </si>
  <si>
    <t>Pasta - Penne Rigate</t>
  </si>
  <si>
    <t>20-16 oz</t>
  </si>
  <si>
    <t>Personal-Health Surely Smooth Shampoo</t>
  </si>
  <si>
    <t>12/13 oz</t>
  </si>
  <si>
    <t>Personal-Health Medium Diapers</t>
  </si>
  <si>
    <t>4-50ct</t>
  </si>
  <si>
    <t>"Ceres4","TCP-LIVE","27","1","P970001"</t>
  </si>
  <si>
    <t>"Ceres4","TCP-LIVE","27","1","P650001"</t>
  </si>
  <si>
    <t>"Ceres4","TCP-LIVE","27","1","959991"</t>
  </si>
  <si>
    <t>Fruit and Vegetable Products</t>
  </si>
  <si>
    <t>"Ceres4","TCP-LIVE","27","1","P300002"</t>
  </si>
  <si>
    <t>Dairy Products</t>
  </si>
  <si>
    <t>P169998</t>
  </si>
  <si>
    <t>P169999</t>
  </si>
  <si>
    <t>Dessert Products</t>
  </si>
  <si>
    <t>P580002</t>
  </si>
  <si>
    <t>P580004</t>
  </si>
  <si>
    <t>P580005</t>
  </si>
  <si>
    <t>P580006</t>
  </si>
  <si>
    <t>Dressing Products</t>
  </si>
  <si>
    <t>Entrees and Main Dish Items</t>
  </si>
  <si>
    <t>Dairy - Sliced Cheese</t>
  </si>
  <si>
    <t>1-5 lb</t>
  </si>
  <si>
    <t>Dairy - Shredded Cheddar Cheese</t>
  </si>
  <si>
    <t>1 - 5 lb bag</t>
  </si>
  <si>
    <t>Dessert- Cherry Pie Filling</t>
  </si>
  <si>
    <t>12-21 oz</t>
  </si>
  <si>
    <t>Dessert- Chocolate Cream Pie Filling</t>
  </si>
  <si>
    <t>Dessert - Key Lime Cream Pie Filling</t>
  </si>
  <si>
    <t>Dessert - Polar Peach PIe Filling</t>
  </si>
  <si>
    <t>12-16 oz</t>
  </si>
  <si>
    <t>"Ceres4","TCP-LIVE","27","1","085106"</t>
  </si>
  <si>
    <t>"Ceres4","TCP-LIVE","27","1","P580002"</t>
  </si>
  <si>
    <t>"Ceres4","TCP-LIVE","27","1","P169998"</t>
  </si>
  <si>
    <t>Condiment Products</t>
  </si>
  <si>
    <t>Baby Foods</t>
  </si>
  <si>
    <t>Bakery Products (needs Baking or used in Baking)</t>
  </si>
  <si>
    <t>Beverages</t>
  </si>
  <si>
    <t>020046</t>
  </si>
  <si>
    <t>020060</t>
  </si>
  <si>
    <t>P029991</t>
  </si>
  <si>
    <t>P030007</t>
  </si>
  <si>
    <t>Bread Products</t>
  </si>
  <si>
    <t>Cereal and Breakfast Products</t>
  </si>
  <si>
    <t>Beverage - Propel Fitness</t>
  </si>
  <si>
    <t>24-17 oz</t>
  </si>
  <si>
    <t>Beverage-Gatorade</t>
  </si>
  <si>
    <t>12-32 oz</t>
  </si>
  <si>
    <t>Beverage - Roast Coffee medium</t>
  </si>
  <si>
    <t>12-12 oz</t>
  </si>
  <si>
    <t xml:space="preserve">Beverage- Cranberry Grape </t>
  </si>
  <si>
    <t>48-4 oz</t>
  </si>
  <si>
    <t>"Ceres4","TCP-LIVE","27","1","085030"</t>
  </si>
  <si>
    <t>"Ceres4","TCP-LIVE","27","1","020046"</t>
  </si>
  <si>
    <t>Date:__3/19/18____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</si>
</sst>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$-409]mmmm\ d\,\ 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0" xfId="0" applyFont="1"/>
    <xf numFmtId="0" fontId="0" fillId="0" borderId="0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2"/>
  <sheetViews>
    <sheetView tabSelected="1" topLeftCell="E167" workbookViewId="0">
      <selection activeCell="H260" sqref="H260"/>
    </sheetView>
  </sheetViews>
  <sheetFormatPr defaultRowHeight="15" x14ac:dyDescent="0.25"/>
  <cols>
    <col min="1" max="4" width="9.140625" hidden="1" customWidth="1"/>
    <col min="5" max="5" width="10.7109375" bestFit="1" customWidth="1"/>
    <col min="6" max="6" width="9.140625" hidden="1" customWidth="1"/>
    <col min="7" max="7" width="10.7109375" customWidth="1"/>
    <col min="8" max="8" width="45.28515625" bestFit="1" customWidth="1"/>
    <col min="9" max="9" width="5.28515625" bestFit="1" customWidth="1"/>
    <col min="10" max="10" width="12.7109375" bestFit="1" customWidth="1"/>
    <col min="11" max="17" width="8.42578125" hidden="1" customWidth="1"/>
    <col min="18" max="18" width="15.42578125" customWidth="1"/>
    <col min="21" max="21" width="14" bestFit="1" customWidth="1"/>
  </cols>
  <sheetData>
    <row r="1" spans="1:21" hidden="1" x14ac:dyDescent="0.25">
      <c r="A1" t="s">
        <v>26</v>
      </c>
      <c r="B1" t="s">
        <v>19</v>
      </c>
      <c r="C1" t="s">
        <v>3</v>
      </c>
      <c r="D1" t="s">
        <v>7</v>
      </c>
      <c r="E1" t="s">
        <v>2</v>
      </c>
      <c r="F1" t="s">
        <v>7</v>
      </c>
      <c r="H1" t="s">
        <v>2</v>
      </c>
      <c r="I1" t="s">
        <v>24</v>
      </c>
      <c r="J1" t="s">
        <v>24</v>
      </c>
      <c r="K1" t="s">
        <v>3</v>
      </c>
      <c r="L1" t="s">
        <v>7</v>
      </c>
      <c r="M1" t="s">
        <v>3</v>
      </c>
      <c r="N1" t="s">
        <v>7</v>
      </c>
      <c r="O1" t="s">
        <v>3</v>
      </c>
      <c r="P1" t="s">
        <v>7</v>
      </c>
      <c r="Q1" t="s">
        <v>7</v>
      </c>
      <c r="U1" s="7"/>
    </row>
    <row r="2" spans="1:21" hidden="1" x14ac:dyDescent="0.25">
      <c r="A2" t="s">
        <v>7</v>
      </c>
      <c r="C2" t="s">
        <v>13</v>
      </c>
      <c r="D2" t="s">
        <v>8</v>
      </c>
      <c r="F2" t="s">
        <v>9</v>
      </c>
      <c r="K2" t="s">
        <v>20</v>
      </c>
      <c r="L2" t="s">
        <v>15</v>
      </c>
      <c r="M2" t="s">
        <v>21</v>
      </c>
      <c r="N2" t="s">
        <v>23</v>
      </c>
      <c r="O2" t="s">
        <v>5</v>
      </c>
      <c r="P2" t="s">
        <v>22</v>
      </c>
      <c r="Q2" t="s">
        <v>18</v>
      </c>
    </row>
    <row r="3" spans="1:21" ht="23.25" x14ac:dyDescent="0.35">
      <c r="C3" s="17" t="s">
        <v>25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21" ht="23.25" x14ac:dyDescent="0.35">
      <c r="C4" s="16" t="s">
        <v>167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21" ht="15.75" thickBot="1" x14ac:dyDescent="0.3"/>
    <row r="6" spans="1:21" ht="24" customHeight="1" thickBot="1" x14ac:dyDescent="0.3">
      <c r="E6" s="11" t="s">
        <v>16</v>
      </c>
      <c r="F6" s="3"/>
      <c r="G6" s="14"/>
      <c r="H6" s="15"/>
      <c r="J6" s="3"/>
      <c r="R6" s="12"/>
    </row>
    <row r="7" spans="1:21" ht="15.75" thickBot="1" x14ac:dyDescent="0.3">
      <c r="E7" s="10"/>
      <c r="F7" s="3"/>
      <c r="J7" s="3"/>
    </row>
    <row r="8" spans="1:21" ht="23.25" customHeight="1" thickBot="1" x14ac:dyDescent="0.3">
      <c r="E8" s="11" t="s">
        <v>17</v>
      </c>
      <c r="F8" s="3"/>
      <c r="G8" s="14"/>
      <c r="H8" s="15"/>
      <c r="J8" s="3"/>
      <c r="R8" s="12"/>
    </row>
    <row r="9" spans="1:21" ht="23.25" customHeight="1" x14ac:dyDescent="0.25">
      <c r="E9" s="11"/>
      <c r="F9" s="3"/>
      <c r="G9" s="13"/>
      <c r="H9" s="13"/>
      <c r="J9" s="3"/>
      <c r="R9" s="12"/>
    </row>
    <row r="10" spans="1:21" ht="46.5" customHeight="1" x14ac:dyDescent="0.25">
      <c r="E10" t="s">
        <v>6</v>
      </c>
      <c r="G10" s="4" t="s">
        <v>11</v>
      </c>
      <c r="H10" t="s">
        <v>1</v>
      </c>
      <c r="I10" s="4" t="s">
        <v>4</v>
      </c>
      <c r="J10" s="4" t="s">
        <v>12</v>
      </c>
      <c r="K10" s="4"/>
      <c r="L10" s="4"/>
      <c r="M10" s="4"/>
      <c r="N10" s="4"/>
      <c r="O10" s="4"/>
      <c r="P10" s="4"/>
      <c r="Q10" s="4"/>
      <c r="R10" s="4" t="s">
        <v>14</v>
      </c>
    </row>
    <row r="11" spans="1:21" ht="17.25" hidden="1" x14ac:dyDescent="0.3">
      <c r="B11" t="str">
        <f>IF($G12="","Hide","Show")</f>
        <v>Hide</v>
      </c>
      <c r="C11" t="s">
        <v>29</v>
      </c>
      <c r="D11" t="s">
        <v>30</v>
      </c>
      <c r="E11" s="9" t="s">
        <v>10</v>
      </c>
      <c r="F11" s="2"/>
      <c r="G11" s="8" t="s">
        <v>148</v>
      </c>
    </row>
    <row r="12" spans="1:21" hidden="1" x14ac:dyDescent="0.25">
      <c r="B12" t="str">
        <f>IF($G12="","Hide","Show")</f>
        <v>Hide</v>
      </c>
      <c r="E12" s="1"/>
      <c r="F12" t="s">
        <v>28</v>
      </c>
      <c r="G12" t="s">
        <v>28</v>
      </c>
      <c r="H12" t="s">
        <v>28</v>
      </c>
      <c r="I12" s="5" t="s">
        <v>28</v>
      </c>
      <c r="J12" s="5" t="s">
        <v>28</v>
      </c>
      <c r="K12" s="5" t="s">
        <v>71</v>
      </c>
      <c r="L12">
        <f>IFERROR(IF(K12*J12=0,"0",K12*J12),0)</f>
        <v>0</v>
      </c>
      <c r="M12" s="5" t="s">
        <v>28</v>
      </c>
      <c r="N12" t="e">
        <f>IF(M12*J12=0,"0",M12*J12)</f>
        <v>#VALUE!</v>
      </c>
      <c r="O12" s="5" t="s">
        <v>28</v>
      </c>
      <c r="P12" s="5" t="s">
        <v>28</v>
      </c>
      <c r="Q12" s="5" t="e">
        <f>P12*O12</f>
        <v>#VALUE!</v>
      </c>
      <c r="R12" s="6" t="str">
        <f>IFERROR(Q12+N12+L12,"")</f>
        <v/>
      </c>
    </row>
    <row r="13" spans="1:21" hidden="1" x14ac:dyDescent="0.25">
      <c r="B13" t="str">
        <f>IF($G12="","Hide","Show")</f>
        <v>Hide</v>
      </c>
      <c r="H13" t="s">
        <v>28</v>
      </c>
    </row>
    <row r="14" spans="1:21" hidden="1" x14ac:dyDescent="0.25">
      <c r="B14" t="str">
        <f>IF($G12="","Hide","Show")</f>
        <v>Hide</v>
      </c>
    </row>
    <row r="15" spans="1:21" ht="17.25" hidden="1" x14ac:dyDescent="0.3">
      <c r="A15" t="s">
        <v>27</v>
      </c>
      <c r="B15" t="str">
        <f t="shared" ref="B15" si="0">IF($G16="","Hide","Show")</f>
        <v>Hide</v>
      </c>
      <c r="C15" t="str">
        <f>"""Ceres4"",""TCP-LIVE"",""14012281"",""1"",""BAKERY"""</f>
        <v>"Ceres4","TCP-LIVE","14012281","1","BAKERY"</v>
      </c>
      <c r="D15" t="s">
        <v>31</v>
      </c>
      <c r="E15" s="9" t="s">
        <v>10</v>
      </c>
      <c r="F15" s="2"/>
      <c r="G15" s="8" t="s">
        <v>149</v>
      </c>
    </row>
    <row r="16" spans="1:21" hidden="1" x14ac:dyDescent="0.25">
      <c r="A16" t="s">
        <v>27</v>
      </c>
      <c r="B16" t="str">
        <f t="shared" ref="B16" si="1">IF($G16="","Hide","Show")</f>
        <v>Hide</v>
      </c>
      <c r="E16" s="1"/>
      <c r="F16" t="s">
        <v>28</v>
      </c>
      <c r="G16" t="s">
        <v>28</v>
      </c>
      <c r="H16" t="s">
        <v>28</v>
      </c>
      <c r="I16" s="5" t="s">
        <v>28</v>
      </c>
      <c r="J16" s="5" t="s">
        <v>28</v>
      </c>
      <c r="K16" s="5" t="s">
        <v>71</v>
      </c>
      <c r="L16">
        <f t="shared" ref="L16" si="2">IFERROR(IF(K16*J16=0,"0",K16*J16),0)</f>
        <v>0</v>
      </c>
      <c r="M16" s="5" t="s">
        <v>28</v>
      </c>
      <c r="N16" t="e">
        <f t="shared" ref="N16" si="3">IF(M16*J16=0,"0",M16*J16)</f>
        <v>#VALUE!</v>
      </c>
      <c r="O16" s="5" t="s">
        <v>28</v>
      </c>
      <c r="P16" s="5" t="s">
        <v>28</v>
      </c>
      <c r="Q16" s="5" t="e">
        <f t="shared" ref="Q16" si="4">P16*O16</f>
        <v>#VALUE!</v>
      </c>
      <c r="R16" s="6" t="str">
        <f t="shared" ref="R16" si="5">IFERROR(Q16+N16+L16,"")</f>
        <v/>
      </c>
    </row>
    <row r="17" spans="1:18" hidden="1" x14ac:dyDescent="0.25">
      <c r="A17" t="s">
        <v>27</v>
      </c>
      <c r="B17" t="str">
        <f t="shared" ref="B17" si="6">IF($G16="","Hide","Show")</f>
        <v>Hide</v>
      </c>
      <c r="H17" t="s">
        <v>28</v>
      </c>
    </row>
    <row r="18" spans="1:18" hidden="1" x14ac:dyDescent="0.25">
      <c r="A18" t="s">
        <v>27</v>
      </c>
      <c r="B18" t="str">
        <f t="shared" ref="B18" si="7">IF($G16="","Hide","Show")</f>
        <v>Hide</v>
      </c>
    </row>
    <row r="19" spans="1:18" ht="17.25" x14ac:dyDescent="0.3">
      <c r="A19" t="s">
        <v>27</v>
      </c>
      <c r="B19" t="str">
        <f t="shared" ref="B19" si="8">IF($G20="","Hide","Show")</f>
        <v>Show</v>
      </c>
      <c r="C19" t="str">
        <f>"""Ceres4"",""TCP-LIVE"",""14012281"",""1"",""BEVERAGE"""</f>
        <v>"Ceres4","TCP-LIVE","14012281","1","BEVERAGE"</v>
      </c>
      <c r="D19" t="s">
        <v>32</v>
      </c>
      <c r="E19" s="9" t="s">
        <v>10</v>
      </c>
      <c r="F19" s="2"/>
      <c r="G19" s="8" t="s">
        <v>150</v>
      </c>
    </row>
    <row r="20" spans="1:18" x14ac:dyDescent="0.25">
      <c r="A20" t="s">
        <v>27</v>
      </c>
      <c r="B20" t="str">
        <f t="shared" ref="B20:B26" si="9">IF($G20="","Hide","Show")</f>
        <v>Show</v>
      </c>
      <c r="E20" s="1"/>
      <c r="F20" t="s">
        <v>166</v>
      </c>
      <c r="G20" t="s">
        <v>151</v>
      </c>
      <c r="H20" t="s">
        <v>157</v>
      </c>
      <c r="I20" s="5" t="s">
        <v>69</v>
      </c>
      <c r="J20" s="5">
        <v>31</v>
      </c>
      <c r="K20" s="5">
        <v>0.19</v>
      </c>
      <c r="L20">
        <f t="shared" ref="L20" si="10">IFERROR(IF(K20*J20=0,"0",K20*J20),0)</f>
        <v>5.89</v>
      </c>
      <c r="M20" s="5">
        <v>0</v>
      </c>
      <c r="N20" t="str">
        <f t="shared" ref="N20" si="11">IF(M20*J20=0,"0",M20*J20)</f>
        <v>0</v>
      </c>
      <c r="O20" s="5">
        <v>1</v>
      </c>
      <c r="P20" s="5">
        <v>0</v>
      </c>
      <c r="Q20" s="5">
        <f t="shared" ref="Q20" si="12">P20*O20</f>
        <v>0</v>
      </c>
      <c r="R20" s="6">
        <f t="shared" ref="R20" si="13">IFERROR(Q20+N20+L20,"")</f>
        <v>5.89</v>
      </c>
    </row>
    <row r="21" spans="1:18" x14ac:dyDescent="0.25">
      <c r="A21" t="s">
        <v>27</v>
      </c>
      <c r="B21" t="str">
        <f t="shared" ref="B21" si="14">IF($G20="","Hide","Show")</f>
        <v>Show</v>
      </c>
      <c r="H21" t="s">
        <v>158</v>
      </c>
    </row>
    <row r="22" spans="1:18" x14ac:dyDescent="0.25">
      <c r="A22" t="s">
        <v>27</v>
      </c>
      <c r="B22" t="str">
        <f t="shared" si="9"/>
        <v>Show</v>
      </c>
      <c r="E22" s="1"/>
      <c r="F22" t="str">
        <f>"""Ceres4"",""TCP-LIVE"",""27"",""1"",""020060"""</f>
        <v>"Ceres4","TCP-LIVE","27","1","020060"</v>
      </c>
      <c r="G22" t="s">
        <v>152</v>
      </c>
      <c r="H22" t="s">
        <v>159</v>
      </c>
      <c r="I22" s="5" t="s">
        <v>69</v>
      </c>
      <c r="J22" s="5">
        <v>28</v>
      </c>
      <c r="K22" s="5">
        <v>0.19</v>
      </c>
      <c r="L22">
        <f t="shared" ref="L22" si="15">IFERROR(IF(K22*J22=0,"0",K22*J22),0)</f>
        <v>5.32</v>
      </c>
      <c r="M22" s="5">
        <v>0</v>
      </c>
      <c r="N22" t="str">
        <f t="shared" ref="N22" si="16">IF(M22*J22=0,"0",M22*J22)</f>
        <v>0</v>
      </c>
      <c r="O22" s="5">
        <v>1</v>
      </c>
      <c r="P22" s="5">
        <v>0</v>
      </c>
      <c r="Q22" s="5">
        <f t="shared" ref="Q22" si="17">P22*O22</f>
        <v>0</v>
      </c>
      <c r="R22" s="6">
        <f t="shared" ref="R22" si="18">IFERROR(Q22+N22+L22,"")</f>
        <v>5.32</v>
      </c>
    </row>
    <row r="23" spans="1:18" x14ac:dyDescent="0.25">
      <c r="A23" t="s">
        <v>27</v>
      </c>
      <c r="B23" t="str">
        <f t="shared" ref="B23" si="19">IF($G22="","Hide","Show")</f>
        <v>Show</v>
      </c>
      <c r="H23" t="s">
        <v>160</v>
      </c>
    </row>
    <row r="24" spans="1:18" x14ac:dyDescent="0.25">
      <c r="A24" t="s">
        <v>27</v>
      </c>
      <c r="B24" t="str">
        <f t="shared" si="9"/>
        <v>Show</v>
      </c>
      <c r="E24" s="1"/>
      <c r="F24" t="str">
        <f>"""Ceres4"",""TCP-LIVE"",""27"",""1"",""P029991"""</f>
        <v>"Ceres4","TCP-LIVE","27","1","P029991"</v>
      </c>
      <c r="G24" t="s">
        <v>153</v>
      </c>
      <c r="H24" t="s">
        <v>161</v>
      </c>
      <c r="I24" s="5" t="s">
        <v>69</v>
      </c>
      <c r="J24" s="5">
        <v>9</v>
      </c>
      <c r="K24" s="5">
        <v>0</v>
      </c>
      <c r="L24" t="str">
        <f t="shared" ref="L24" si="20">IFERROR(IF(K24*J24=0,"0",K24*J24),0)</f>
        <v>0</v>
      </c>
      <c r="M24" s="5">
        <v>0</v>
      </c>
      <c r="N24" t="str">
        <f t="shared" ref="N24" si="21">IF(M24*J24=0,"0",M24*J24)</f>
        <v>0</v>
      </c>
      <c r="O24" s="5">
        <v>1.1499999999999999</v>
      </c>
      <c r="P24" s="5">
        <v>24.6</v>
      </c>
      <c r="Q24" s="5">
        <f t="shared" ref="Q24" si="22">P24*O24</f>
        <v>28.29</v>
      </c>
      <c r="R24" s="6">
        <f t="shared" ref="R24" si="23">IFERROR(Q24+N24+L24,"")</f>
        <v>28.29</v>
      </c>
    </row>
    <row r="25" spans="1:18" x14ac:dyDescent="0.25">
      <c r="A25" t="s">
        <v>27</v>
      </c>
      <c r="B25" t="str">
        <f t="shared" ref="B25" si="24">IF($G24="","Hide","Show")</f>
        <v>Show</v>
      </c>
      <c r="H25" t="s">
        <v>162</v>
      </c>
    </row>
    <row r="26" spans="1:18" x14ac:dyDescent="0.25">
      <c r="A26" t="s">
        <v>27</v>
      </c>
      <c r="B26" t="str">
        <f t="shared" si="9"/>
        <v>Show</v>
      </c>
      <c r="E26" s="1"/>
      <c r="F26" t="str">
        <f>"""Ceres4"",""TCP-LIVE"",""27"",""1"",""P030007"""</f>
        <v>"Ceres4","TCP-LIVE","27","1","P030007"</v>
      </c>
      <c r="G26" t="s">
        <v>154</v>
      </c>
      <c r="H26" t="s">
        <v>163</v>
      </c>
      <c r="I26" s="5" t="s">
        <v>69</v>
      </c>
      <c r="J26" s="5">
        <v>12</v>
      </c>
      <c r="K26" s="5">
        <v>0</v>
      </c>
      <c r="L26" t="str">
        <f t="shared" ref="L26" si="25">IFERROR(IF(K26*J26=0,"0",K26*J26),0)</f>
        <v>0</v>
      </c>
      <c r="M26" s="5">
        <v>0</v>
      </c>
      <c r="N26" t="str">
        <f t="shared" ref="N26" si="26">IF(M26*J26=0,"0",M26*J26)</f>
        <v>0</v>
      </c>
      <c r="O26" s="5">
        <v>1.1399999999999999</v>
      </c>
      <c r="P26" s="5">
        <v>16.07</v>
      </c>
      <c r="Q26" s="5">
        <f t="shared" ref="Q26" si="27">P26*O26</f>
        <v>18.319799999999997</v>
      </c>
      <c r="R26" s="6">
        <f t="shared" ref="R26" si="28">IFERROR(Q26+N26+L26,"")</f>
        <v>18.319799999999997</v>
      </c>
    </row>
    <row r="27" spans="1:18" x14ac:dyDescent="0.25">
      <c r="A27" t="s">
        <v>27</v>
      </c>
      <c r="B27" t="str">
        <f t="shared" ref="B27" si="29">IF($G26="","Hide","Show")</f>
        <v>Show</v>
      </c>
      <c r="H27" t="s">
        <v>164</v>
      </c>
    </row>
    <row r="28" spans="1:18" x14ac:dyDescent="0.25">
      <c r="A28" t="s">
        <v>27</v>
      </c>
      <c r="B28" t="str">
        <f t="shared" ref="B28" si="30">IF($G20="","Hide","Show")</f>
        <v>Show</v>
      </c>
    </row>
    <row r="29" spans="1:18" ht="17.25" hidden="1" x14ac:dyDescent="0.3">
      <c r="A29" t="s">
        <v>27</v>
      </c>
      <c r="B29" t="str">
        <f t="shared" ref="B29" si="31">IF($G30="","Hide","Show")</f>
        <v>Hide</v>
      </c>
      <c r="C29" t="str">
        <f>"""Ceres4"",""TCP-LIVE"",""14012281"",""1"",""BREAD"""</f>
        <v>"Ceres4","TCP-LIVE","14012281","1","BREAD"</v>
      </c>
      <c r="D29" t="s">
        <v>33</v>
      </c>
      <c r="E29" s="9" t="s">
        <v>10</v>
      </c>
      <c r="F29" s="2"/>
      <c r="G29" s="8" t="s">
        <v>155</v>
      </c>
    </row>
    <row r="30" spans="1:18" hidden="1" x14ac:dyDescent="0.25">
      <c r="A30" t="s">
        <v>27</v>
      </c>
      <c r="B30" t="str">
        <f t="shared" ref="B30" si="32">IF($G30="","Hide","Show")</f>
        <v>Hide</v>
      </c>
      <c r="E30" s="1"/>
      <c r="F30" t="s">
        <v>28</v>
      </c>
      <c r="G30" t="s">
        <v>28</v>
      </c>
      <c r="H30" t="s">
        <v>28</v>
      </c>
      <c r="I30" s="5" t="s">
        <v>28</v>
      </c>
      <c r="J30" s="5" t="s">
        <v>28</v>
      </c>
      <c r="K30" s="5" t="s">
        <v>71</v>
      </c>
      <c r="L30">
        <f t="shared" ref="L30" si="33">IFERROR(IF(K30*J30=0,"0",K30*J30),0)</f>
        <v>0</v>
      </c>
      <c r="M30" s="5" t="s">
        <v>28</v>
      </c>
      <c r="N30" t="e">
        <f t="shared" ref="N30" si="34">IF(M30*J30=0,"0",M30*J30)</f>
        <v>#VALUE!</v>
      </c>
      <c r="O30" s="5" t="s">
        <v>28</v>
      </c>
      <c r="P30" s="5" t="s">
        <v>28</v>
      </c>
      <c r="Q30" s="5" t="e">
        <f t="shared" ref="Q30" si="35">P30*O30</f>
        <v>#VALUE!</v>
      </c>
      <c r="R30" s="6" t="str">
        <f t="shared" ref="R30" si="36">IFERROR(Q30+N30+L30,"")</f>
        <v/>
      </c>
    </row>
    <row r="31" spans="1:18" hidden="1" x14ac:dyDescent="0.25">
      <c r="A31" t="s">
        <v>27</v>
      </c>
      <c r="B31" t="str">
        <f t="shared" ref="B31" si="37">IF($G30="","Hide","Show")</f>
        <v>Hide</v>
      </c>
      <c r="H31" t="s">
        <v>28</v>
      </c>
    </row>
    <row r="32" spans="1:18" hidden="1" x14ac:dyDescent="0.25">
      <c r="A32" t="s">
        <v>27</v>
      </c>
      <c r="B32" t="str">
        <f t="shared" ref="B32" si="38">IF($G30="","Hide","Show")</f>
        <v>Hide</v>
      </c>
    </row>
    <row r="33" spans="1:18" ht="17.25" x14ac:dyDescent="0.3">
      <c r="A33" t="s">
        <v>27</v>
      </c>
      <c r="B33" t="str">
        <f t="shared" ref="B33" si="39">IF($G34="","Hide","Show")</f>
        <v>Show</v>
      </c>
      <c r="C33" t="str">
        <f>"""Ceres4"",""TCP-LIVE"",""14012281"",""1"",""CEREAL/BRK"""</f>
        <v>"Ceres4","TCP-LIVE","14012281","1","CEREAL/BRK"</v>
      </c>
      <c r="D33" t="s">
        <v>34</v>
      </c>
      <c r="E33" s="9" t="s">
        <v>10</v>
      </c>
      <c r="F33" s="2"/>
      <c r="G33" s="8" t="s">
        <v>156</v>
      </c>
    </row>
    <row r="34" spans="1:18" x14ac:dyDescent="0.25">
      <c r="A34" t="s">
        <v>27</v>
      </c>
      <c r="B34" t="str">
        <f t="shared" ref="B34:B44" si="40">IF($G34="","Hide","Show")</f>
        <v>Show</v>
      </c>
      <c r="E34" s="1"/>
      <c r="F34" t="s">
        <v>165</v>
      </c>
      <c r="G34" t="str">
        <f>"085030"</f>
        <v>085030</v>
      </c>
      <c r="H34" t="str">
        <f>"Breakfast - Breakfast Sliders"</f>
        <v>Breakfast - Breakfast Sliders</v>
      </c>
      <c r="I34" s="5" t="str">
        <f>"CS"</f>
        <v>CS</v>
      </c>
      <c r="J34" s="5">
        <v>12</v>
      </c>
      <c r="K34" s="5">
        <v>0.19</v>
      </c>
      <c r="L34">
        <f t="shared" ref="L34" si="41">IFERROR(IF(K34*J34=0,"0",K34*J34),0)</f>
        <v>2.2800000000000002</v>
      </c>
      <c r="M34" s="5">
        <v>0</v>
      </c>
      <c r="N34" t="str">
        <f t="shared" ref="N34" si="42">IF(M34*J34=0,"0",M34*J34)</f>
        <v>0</v>
      </c>
      <c r="O34" s="5">
        <v>1</v>
      </c>
      <c r="P34" s="5">
        <v>0</v>
      </c>
      <c r="Q34" s="5">
        <f t="shared" ref="Q34" si="43">P34*O34</f>
        <v>0</v>
      </c>
      <c r="R34" s="6">
        <f t="shared" ref="R34" si="44">IFERROR(Q34+N34+L34,"")</f>
        <v>2.2800000000000002</v>
      </c>
    </row>
    <row r="35" spans="1:18" x14ac:dyDescent="0.25">
      <c r="A35" t="s">
        <v>27</v>
      </c>
      <c r="B35" t="str">
        <f t="shared" ref="B35" si="45">IF($G34="","Hide","Show")</f>
        <v>Show</v>
      </c>
      <c r="H35" t="str">
        <f>"Bulk 12 lbs"</f>
        <v>Bulk 12 lbs</v>
      </c>
    </row>
    <row r="36" spans="1:18" x14ac:dyDescent="0.25">
      <c r="A36" t="s">
        <v>27</v>
      </c>
      <c r="B36" t="str">
        <f t="shared" si="40"/>
        <v>Show</v>
      </c>
      <c r="E36" s="1"/>
      <c r="F36" t="str">
        <f>"""Ceres4"",""TCP-LIVE"",""27"",""1"",""085069"""</f>
        <v>"Ceres4","TCP-LIVE","27","1","085069"</v>
      </c>
      <c r="G36" t="str">
        <f>"085069"</f>
        <v>085069</v>
      </c>
      <c r="H36" t="str">
        <f>"Breakfast - Breakfast Pizza"</f>
        <v>Breakfast - Breakfast Pizza</v>
      </c>
      <c r="I36" s="5" t="str">
        <f>"CS"</f>
        <v>CS</v>
      </c>
      <c r="J36" s="5">
        <v>23</v>
      </c>
      <c r="K36" s="5">
        <v>0.19</v>
      </c>
      <c r="L36">
        <f t="shared" ref="L36" si="46">IFERROR(IF(K36*J36=0,"0",K36*J36),0)</f>
        <v>4.37</v>
      </c>
      <c r="M36" s="5">
        <v>0</v>
      </c>
      <c r="N36" t="str">
        <f t="shared" ref="N36" si="47">IF(M36*J36=0,"0",M36*J36)</f>
        <v>0</v>
      </c>
      <c r="O36" s="5">
        <v>1</v>
      </c>
      <c r="P36" s="5">
        <v>0</v>
      </c>
      <c r="Q36" s="5">
        <f t="shared" ref="Q36" si="48">P36*O36</f>
        <v>0</v>
      </c>
      <c r="R36" s="6">
        <f t="shared" ref="R36" si="49">IFERROR(Q36+N36+L36,"")</f>
        <v>4.37</v>
      </c>
    </row>
    <row r="37" spans="1:18" x14ac:dyDescent="0.25">
      <c r="A37" t="s">
        <v>27</v>
      </c>
      <c r="B37" t="str">
        <f t="shared" ref="B37" si="50">IF($G36="","Hide","Show")</f>
        <v>Show</v>
      </c>
      <c r="H37" t="str">
        <f>"Bulk 23 lbs"</f>
        <v>Bulk 23 lbs</v>
      </c>
    </row>
    <row r="38" spans="1:18" x14ac:dyDescent="0.25">
      <c r="A38" t="s">
        <v>27</v>
      </c>
      <c r="B38" t="str">
        <f t="shared" si="40"/>
        <v>Show</v>
      </c>
      <c r="E38" s="1"/>
      <c r="F38" t="str">
        <f>"""Ceres4"",""TCP-LIVE"",""27"",""1"",""P070002"""</f>
        <v>"Ceres4","TCP-LIVE","27","1","P070002"</v>
      </c>
      <c r="G38" t="str">
        <f>"P070002"</f>
        <v>P070002</v>
      </c>
      <c r="H38" t="str">
        <f>"Breakfast - Quick Oatmeal"</f>
        <v>Breakfast - Quick Oatmeal</v>
      </c>
      <c r="I38" s="5" t="str">
        <f>"CS"</f>
        <v>CS</v>
      </c>
      <c r="J38" s="5">
        <v>11</v>
      </c>
      <c r="K38" s="5">
        <v>0</v>
      </c>
      <c r="L38" t="str">
        <f t="shared" ref="L38" si="51">IFERROR(IF(K38*J38=0,"0",K38*J38),0)</f>
        <v>0</v>
      </c>
      <c r="M38" s="5">
        <v>0</v>
      </c>
      <c r="N38" t="str">
        <f t="shared" ref="N38" si="52">IF(M38*J38=0,"0",M38*J38)</f>
        <v>0</v>
      </c>
      <c r="O38" s="5">
        <v>1.2</v>
      </c>
      <c r="P38" s="5">
        <v>11.45</v>
      </c>
      <c r="Q38" s="5">
        <f t="shared" ref="Q38" si="53">P38*O38</f>
        <v>13.739999999999998</v>
      </c>
      <c r="R38" s="6">
        <f t="shared" ref="R38" si="54">IFERROR(Q38+N38+L38,"")</f>
        <v>13.739999999999998</v>
      </c>
    </row>
    <row r="39" spans="1:18" x14ac:dyDescent="0.25">
      <c r="A39" t="s">
        <v>27</v>
      </c>
      <c r="B39" t="str">
        <f t="shared" ref="B39" si="55">IF($G38="","Hide","Show")</f>
        <v>Show</v>
      </c>
      <c r="H39" t="str">
        <f>"12-14 oz"</f>
        <v>12-14 oz</v>
      </c>
    </row>
    <row r="40" spans="1:18" x14ac:dyDescent="0.25">
      <c r="A40" t="s">
        <v>27</v>
      </c>
      <c r="B40" t="str">
        <f t="shared" si="40"/>
        <v>Show</v>
      </c>
      <c r="E40" s="1"/>
      <c r="F40" t="str">
        <f>"""Ceres4"",""TCP-LIVE"",""27"",""1"",""P070009"""</f>
        <v>"Ceres4","TCP-LIVE","27","1","P070009"</v>
      </c>
      <c r="G40" t="str">
        <f>"P070009"</f>
        <v>P070009</v>
      </c>
      <c r="H40" t="str">
        <f>"Breakfast - Whole Wheat Pancakes"</f>
        <v>Breakfast - Whole Wheat Pancakes</v>
      </c>
      <c r="I40" s="5" t="str">
        <f>"EA"</f>
        <v>EA</v>
      </c>
      <c r="J40" s="5">
        <v>1</v>
      </c>
      <c r="K40" s="5">
        <v>0</v>
      </c>
      <c r="L40" t="str">
        <f t="shared" ref="L40" si="56">IFERROR(IF(K40*J40=0,"0",K40*J40),0)</f>
        <v>0</v>
      </c>
      <c r="M40" s="5">
        <v>0</v>
      </c>
      <c r="N40" t="str">
        <f t="shared" ref="N40" si="57">IF(M40*J40=0,"0",M40*J40)</f>
        <v>0</v>
      </c>
      <c r="O40" s="5">
        <v>1.1499999999999999</v>
      </c>
      <c r="P40" s="5">
        <v>2.1187800000000001</v>
      </c>
      <c r="Q40" s="5">
        <f t="shared" ref="Q40" si="58">P40*O40</f>
        <v>2.4365969999999999</v>
      </c>
      <c r="R40" s="6">
        <f t="shared" ref="R40" si="59">IFERROR(Q40+N40+L40,"")</f>
        <v>2.4365969999999999</v>
      </c>
    </row>
    <row r="41" spans="1:18" x14ac:dyDescent="0.25">
      <c r="A41" t="s">
        <v>27</v>
      </c>
      <c r="B41" t="str">
        <f t="shared" ref="B41" si="60">IF($G40="","Hide","Show")</f>
        <v>Show</v>
      </c>
      <c r="H41" t="str">
        <f>"1pk - 12 sm cakes"</f>
        <v>1pk - 12 sm cakes</v>
      </c>
    </row>
    <row r="42" spans="1:18" x14ac:dyDescent="0.25">
      <c r="A42" t="s">
        <v>27</v>
      </c>
      <c r="B42" t="str">
        <f t="shared" si="40"/>
        <v>Show</v>
      </c>
      <c r="E42" s="1"/>
      <c r="F42" t="str">
        <f>"""Ceres4"",""TCP-LIVE"",""27"",""1"",""P070010"""</f>
        <v>"Ceres4","TCP-LIVE","27","1","P070010"</v>
      </c>
      <c r="G42" t="str">
        <f>"P070010"</f>
        <v>P070010</v>
      </c>
      <c r="H42" t="str">
        <f>"Breakfast-Pancake Mix"</f>
        <v>Breakfast-Pancake Mix</v>
      </c>
      <c r="I42" s="5" t="str">
        <f>"CS"</f>
        <v>CS</v>
      </c>
      <c r="J42" s="5">
        <v>14</v>
      </c>
      <c r="K42" s="5">
        <v>0</v>
      </c>
      <c r="L42" t="str">
        <f t="shared" ref="L42" si="61">IFERROR(IF(K42*J42=0,"0",K42*J42),0)</f>
        <v>0</v>
      </c>
      <c r="M42" s="5">
        <v>0</v>
      </c>
      <c r="N42" t="str">
        <f t="shared" ref="N42" si="62">IF(M42*J42=0,"0",M42*J42)</f>
        <v>0</v>
      </c>
      <c r="O42" s="5">
        <v>1.2</v>
      </c>
      <c r="P42" s="5">
        <v>10.73</v>
      </c>
      <c r="Q42" s="5">
        <f t="shared" ref="Q42" si="63">P42*O42</f>
        <v>12.875999999999999</v>
      </c>
      <c r="R42" s="6">
        <f t="shared" ref="R42" si="64">IFERROR(Q42+N42+L42,"")</f>
        <v>12.875999999999999</v>
      </c>
    </row>
    <row r="43" spans="1:18" x14ac:dyDescent="0.25">
      <c r="A43" t="s">
        <v>27</v>
      </c>
      <c r="B43" t="str">
        <f t="shared" ref="B43" si="65">IF($G42="","Hide","Show")</f>
        <v>Show</v>
      </c>
      <c r="H43" t="str">
        <f>"12-17 oz"</f>
        <v>12-17 oz</v>
      </c>
    </row>
    <row r="44" spans="1:18" x14ac:dyDescent="0.25">
      <c r="A44" t="s">
        <v>27</v>
      </c>
      <c r="B44" t="str">
        <f t="shared" si="40"/>
        <v>Show</v>
      </c>
      <c r="E44" s="1"/>
      <c r="F44" t="str">
        <f>"""Ceres4"",""TCP-LIVE"",""27"",""1"",""P070016"""</f>
        <v>"Ceres4","TCP-LIVE","27","1","P070016"</v>
      </c>
      <c r="G44" t="str">
        <f>"P070016"</f>
        <v>P070016</v>
      </c>
      <c r="H44" t="str">
        <f>"Breakfast- Maple Waffles Sticks"</f>
        <v>Breakfast- Maple Waffles Sticks</v>
      </c>
      <c r="I44" s="5" t="str">
        <f>"BAG"</f>
        <v>BAG</v>
      </c>
      <c r="J44" s="5">
        <v>4</v>
      </c>
      <c r="K44" s="5">
        <v>0</v>
      </c>
      <c r="L44" t="str">
        <f t="shared" ref="L44" si="66">IFERROR(IF(K44*J44=0,"0",K44*J44),0)</f>
        <v>0</v>
      </c>
      <c r="M44" s="5">
        <v>0</v>
      </c>
      <c r="N44" t="str">
        <f t="shared" ref="N44" si="67">IF(M44*J44=0,"0",M44*J44)</f>
        <v>0</v>
      </c>
      <c r="O44" s="5">
        <v>1.1499999999999999</v>
      </c>
      <c r="P44" s="5">
        <v>13.88</v>
      </c>
      <c r="Q44" s="5">
        <f t="shared" ref="Q44" si="68">P44*O44</f>
        <v>15.962</v>
      </c>
      <c r="R44" s="6">
        <f t="shared" ref="R44" si="69">IFERROR(Q44+N44+L44,"")</f>
        <v>15.962</v>
      </c>
    </row>
    <row r="45" spans="1:18" x14ac:dyDescent="0.25">
      <c r="A45" t="s">
        <v>27</v>
      </c>
      <c r="B45" t="str">
        <f t="shared" ref="B45" si="70">IF($G44="","Hide","Show")</f>
        <v>Show</v>
      </c>
      <c r="H45" t="str">
        <f>"24-2.4 oz"</f>
        <v>24-2.4 oz</v>
      </c>
    </row>
    <row r="46" spans="1:18" x14ac:dyDescent="0.25">
      <c r="A46" t="s">
        <v>27</v>
      </c>
      <c r="B46" t="str">
        <f t="shared" ref="B46" si="71">IF($G34="","Hide","Show")</f>
        <v>Show</v>
      </c>
    </row>
    <row r="47" spans="1:18" ht="17.25" x14ac:dyDescent="0.3">
      <c r="A47" t="s">
        <v>27</v>
      </c>
      <c r="B47" t="e">
        <f>IF(#REF!="","Hide","Show")</f>
        <v>#REF!</v>
      </c>
      <c r="C47" t="str">
        <f>"""Ceres4"",""TCP-LIVE"",""14012281"",""1"",""CONDIMENT"""</f>
        <v>"Ceres4","TCP-LIVE","14012281","1","CONDIMENT"</v>
      </c>
      <c r="D47" t="s">
        <v>35</v>
      </c>
      <c r="E47" s="9" t="s">
        <v>10</v>
      </c>
      <c r="F47" s="2"/>
      <c r="G47" s="8" t="s">
        <v>147</v>
      </c>
    </row>
    <row r="48" spans="1:18" x14ac:dyDescent="0.25">
      <c r="A48" t="s">
        <v>27</v>
      </c>
      <c r="B48" t="str">
        <f t="shared" ref="B48:B60" si="72">IF($G48="","Hide","Show")</f>
        <v>Show</v>
      </c>
      <c r="E48" s="1"/>
      <c r="F48" t="str">
        <f>"""Ceres4"",""TCP-LIVE"",""27"",""1"",""P100000"""</f>
        <v>"Ceres4","TCP-LIVE","27","1","P100000"</v>
      </c>
      <c r="G48" t="str">
        <f>"P100000"</f>
        <v>P100000</v>
      </c>
      <c r="H48" t="str">
        <f>"Condiment - Turkey Stuffing"</f>
        <v>Condiment - Turkey Stuffing</v>
      </c>
      <c r="I48" s="5" t="str">
        <f>"EA"</f>
        <v>EA</v>
      </c>
      <c r="J48" s="5">
        <v>1</v>
      </c>
      <c r="K48" s="5">
        <v>0</v>
      </c>
      <c r="L48" t="str">
        <f t="shared" ref="L48" si="73">IFERROR(IF(K48*J48=0,"0",K48*J48),0)</f>
        <v>0</v>
      </c>
      <c r="M48" s="5">
        <v>0</v>
      </c>
      <c r="N48" t="str">
        <f t="shared" ref="N48" si="74">IF(M48*J48=0,"0",M48*J48)</f>
        <v>0</v>
      </c>
      <c r="O48" s="5">
        <v>1.2</v>
      </c>
      <c r="P48" s="5">
        <v>1.19</v>
      </c>
      <c r="Q48" s="5">
        <f t="shared" ref="Q48" si="75">P48*O48</f>
        <v>1.4279999999999999</v>
      </c>
      <c r="R48" s="6">
        <f t="shared" ref="R48" si="76">IFERROR(Q48+N48+L48,"")</f>
        <v>1.4279999999999999</v>
      </c>
    </row>
    <row r="49" spans="1:18" x14ac:dyDescent="0.25">
      <c r="A49" t="s">
        <v>27</v>
      </c>
      <c r="B49" t="str">
        <f t="shared" ref="B49" si="77">IF($G48="","Hide","Show")</f>
        <v>Show</v>
      </c>
      <c r="H49" t="str">
        <f>"1 - 16 oz "</f>
        <v xml:space="preserve">1 - 16 oz </v>
      </c>
    </row>
    <row r="50" spans="1:18" x14ac:dyDescent="0.25">
      <c r="A50" t="s">
        <v>27</v>
      </c>
      <c r="B50" t="str">
        <f t="shared" si="72"/>
        <v>Show</v>
      </c>
      <c r="E50" s="1"/>
      <c r="F50" t="str">
        <f>"""Ceres4"",""TCP-LIVE"",""27"",""1"",""P100005"""</f>
        <v>"Ceres4","TCP-LIVE","27","1","P100005"</v>
      </c>
      <c r="G50" t="str">
        <f>"P100005"</f>
        <v>P100005</v>
      </c>
      <c r="H50" t="str">
        <f>"Condiment - Whipping Cream"</f>
        <v>Condiment - Whipping Cream</v>
      </c>
      <c r="I50" s="5" t="str">
        <f>"EA"</f>
        <v>EA</v>
      </c>
      <c r="J50" s="5">
        <v>1</v>
      </c>
      <c r="K50" s="5">
        <v>0</v>
      </c>
      <c r="L50" t="str">
        <f t="shared" ref="L50" si="78">IFERROR(IF(K50*J50=0,"0",K50*J50),0)</f>
        <v>0</v>
      </c>
      <c r="M50" s="5">
        <v>0</v>
      </c>
      <c r="N50" t="str">
        <f t="shared" ref="N50" si="79">IF(M50*J50=0,"0",M50*J50)</f>
        <v>0</v>
      </c>
      <c r="O50" s="5">
        <v>1.1499999999999999</v>
      </c>
      <c r="P50" s="5">
        <v>0.89</v>
      </c>
      <c r="Q50" s="5">
        <f t="shared" ref="Q50" si="80">P50*O50</f>
        <v>1.0234999999999999</v>
      </c>
      <c r="R50" s="6">
        <f t="shared" ref="R50" si="81">IFERROR(Q50+N50+L50,"")</f>
        <v>1.0234999999999999</v>
      </c>
    </row>
    <row r="51" spans="1:18" x14ac:dyDescent="0.25">
      <c r="A51" t="s">
        <v>27</v>
      </c>
      <c r="B51" t="str">
        <f t="shared" ref="B51" si="82">IF($G50="","Hide","Show")</f>
        <v>Show</v>
      </c>
      <c r="H51" t="str">
        <f>"1 tub"</f>
        <v>1 tub</v>
      </c>
    </row>
    <row r="52" spans="1:18" x14ac:dyDescent="0.25">
      <c r="A52" t="s">
        <v>27</v>
      </c>
      <c r="B52" t="str">
        <f t="shared" si="72"/>
        <v>Show</v>
      </c>
      <c r="E52" s="1"/>
      <c r="F52" t="str">
        <f>"""Ceres4"",""TCP-LIVE"",""27"",""1"",""P120003"""</f>
        <v>"Ceres4","TCP-LIVE","27","1","P120003"</v>
      </c>
      <c r="G52" t="str">
        <f>"P120003"</f>
        <v>P120003</v>
      </c>
      <c r="H52" t="str">
        <f>"Condiment - Turkey Stuffing Mix"</f>
        <v>Condiment - Turkey Stuffing Mix</v>
      </c>
      <c r="I52" s="5" t="str">
        <f>"CS"</f>
        <v>CS</v>
      </c>
      <c r="J52" s="5">
        <v>5</v>
      </c>
      <c r="K52" s="5">
        <v>0</v>
      </c>
      <c r="L52" t="str">
        <f t="shared" ref="L52" si="83">IFERROR(IF(K52*J52=0,"0",K52*J52),0)</f>
        <v>0</v>
      </c>
      <c r="M52" s="5">
        <v>0</v>
      </c>
      <c r="N52" t="str">
        <f t="shared" ref="N52" si="84">IF(M52*J52=0,"0",M52*J52)</f>
        <v>0</v>
      </c>
      <c r="O52" s="5">
        <v>1.2</v>
      </c>
      <c r="P52" s="5">
        <v>9.5299999999999994</v>
      </c>
      <c r="Q52" s="5">
        <f t="shared" ref="Q52" si="85">P52*O52</f>
        <v>11.435999999999998</v>
      </c>
      <c r="R52" s="6">
        <f t="shared" ref="R52" si="86">IFERROR(Q52+N52+L52,"")</f>
        <v>11.435999999999998</v>
      </c>
    </row>
    <row r="53" spans="1:18" x14ac:dyDescent="0.25">
      <c r="A53" t="s">
        <v>27</v>
      </c>
      <c r="B53" t="str">
        <f t="shared" ref="B53" si="87">IF($G52="","Hide","Show")</f>
        <v>Show</v>
      </c>
      <c r="H53" t="str">
        <f>"12-6 oz"</f>
        <v>12-6 oz</v>
      </c>
    </row>
    <row r="54" spans="1:18" x14ac:dyDescent="0.25">
      <c r="A54" t="s">
        <v>27</v>
      </c>
      <c r="B54" t="str">
        <f t="shared" si="72"/>
        <v>Show</v>
      </c>
      <c r="E54" s="1"/>
      <c r="F54" t="str">
        <f>"""Ceres4"",""TCP-LIVE"",""27"",""1"",""P120007"""</f>
        <v>"Ceres4","TCP-LIVE","27","1","P120007"</v>
      </c>
      <c r="G54" t="str">
        <f>"P120007"</f>
        <v>P120007</v>
      </c>
      <c r="H54" t="str">
        <f>"Condiment- Cranberry Sauce"</f>
        <v>Condiment- Cranberry Sauce</v>
      </c>
      <c r="I54" s="5" t="str">
        <f>"CS"</f>
        <v>CS</v>
      </c>
      <c r="J54" s="5">
        <v>21</v>
      </c>
      <c r="K54" s="5">
        <v>0</v>
      </c>
      <c r="L54" t="str">
        <f t="shared" ref="L54" si="88">IFERROR(IF(K54*J54=0,"0",K54*J54),0)</f>
        <v>0</v>
      </c>
      <c r="M54" s="5">
        <v>0</v>
      </c>
      <c r="N54" t="str">
        <f t="shared" ref="N54" si="89">IF(M54*J54=0,"0",M54*J54)</f>
        <v>0</v>
      </c>
      <c r="O54" s="5">
        <v>1.2</v>
      </c>
      <c r="P54" s="5">
        <v>30.96</v>
      </c>
      <c r="Q54" s="5">
        <f t="shared" ref="Q54" si="90">P54*O54</f>
        <v>37.152000000000001</v>
      </c>
      <c r="R54" s="6">
        <f t="shared" ref="R54" si="91">IFERROR(Q54+N54+L54,"")</f>
        <v>37.152000000000001</v>
      </c>
    </row>
    <row r="55" spans="1:18" x14ac:dyDescent="0.25">
      <c r="A55" t="s">
        <v>27</v>
      </c>
      <c r="B55" t="str">
        <f t="shared" ref="B55" si="92">IF($G54="","Hide","Show")</f>
        <v>Show</v>
      </c>
      <c r="H55" t="str">
        <f>"24-14 oz"</f>
        <v>24-14 oz</v>
      </c>
    </row>
    <row r="56" spans="1:18" x14ac:dyDescent="0.25">
      <c r="A56" t="s">
        <v>27</v>
      </c>
      <c r="B56" t="str">
        <f t="shared" si="72"/>
        <v>Show</v>
      </c>
      <c r="E56" s="1"/>
      <c r="F56" t="str">
        <f>"""Ceres4"",""TCP-LIVE"",""27"",""1"",""P120011"""</f>
        <v>"Ceres4","TCP-LIVE","27","1","P120011"</v>
      </c>
      <c r="G56" t="str">
        <f>"P120011"</f>
        <v>P120011</v>
      </c>
      <c r="H56" t="str">
        <f>"Condiment - Tomato Sauce"</f>
        <v>Condiment - Tomato Sauce</v>
      </c>
      <c r="I56" s="5" t="str">
        <f>"CS"</f>
        <v>CS</v>
      </c>
      <c r="J56" s="5">
        <v>26</v>
      </c>
      <c r="K56" s="5">
        <v>0</v>
      </c>
      <c r="L56" t="str">
        <f t="shared" ref="L56" si="93">IFERROR(IF(K56*J56=0,"0",K56*J56),0)</f>
        <v>0</v>
      </c>
      <c r="M56" s="5">
        <v>0</v>
      </c>
      <c r="N56" t="str">
        <f t="shared" ref="N56" si="94">IF(M56*J56=0,"0",M56*J56)</f>
        <v>0</v>
      </c>
      <c r="O56" s="5">
        <v>1.22</v>
      </c>
      <c r="P56" s="5">
        <v>12.35</v>
      </c>
      <c r="Q56" s="5">
        <f t="shared" ref="Q56" si="95">P56*O56</f>
        <v>15.066999999999998</v>
      </c>
      <c r="R56" s="6">
        <f t="shared" ref="R56" si="96">IFERROR(Q56+N56+L56,"")</f>
        <v>15.066999999999998</v>
      </c>
    </row>
    <row r="57" spans="1:18" x14ac:dyDescent="0.25">
      <c r="A57" t="s">
        <v>27</v>
      </c>
      <c r="B57" t="str">
        <f t="shared" ref="B57" si="97">IF($G56="","Hide","Show")</f>
        <v>Show</v>
      </c>
      <c r="H57" t="str">
        <f>"24-15 oz"</f>
        <v>24-15 oz</v>
      </c>
    </row>
    <row r="58" spans="1:18" x14ac:dyDescent="0.25">
      <c r="A58" t="s">
        <v>27</v>
      </c>
      <c r="B58" t="str">
        <f t="shared" si="72"/>
        <v>Show</v>
      </c>
      <c r="E58" s="1"/>
      <c r="F58" t="str">
        <f>"""Ceres4"",""TCP-LIVE"",""27"",""1"",""P130015"""</f>
        <v>"Ceres4","TCP-LIVE","27","1","P130015"</v>
      </c>
      <c r="G58" t="str">
        <f>"P130015"</f>
        <v>P130015</v>
      </c>
      <c r="H58" t="str">
        <f>"Condiment - Raspberry Preserve"</f>
        <v>Condiment - Raspberry Preserve</v>
      </c>
      <c r="I58" s="5" t="str">
        <f>"CS"</f>
        <v>CS</v>
      </c>
      <c r="J58" s="5">
        <v>15</v>
      </c>
      <c r="K58" s="5">
        <v>0</v>
      </c>
      <c r="L58" t="str">
        <f t="shared" ref="L58" si="98">IFERROR(IF(K58*J58=0,"0",K58*J58),0)</f>
        <v>0</v>
      </c>
      <c r="M58" s="5">
        <v>0</v>
      </c>
      <c r="N58" t="str">
        <f t="shared" ref="N58" si="99">IF(M58*J58=0,"0",M58*J58)</f>
        <v>0</v>
      </c>
      <c r="O58" s="5">
        <v>1.2</v>
      </c>
      <c r="P58" s="5">
        <v>9.5299999999999994</v>
      </c>
      <c r="Q58" s="5">
        <f t="shared" ref="Q58" si="100">P58*O58</f>
        <v>11.435999999999998</v>
      </c>
      <c r="R58" s="6">
        <f t="shared" ref="R58" si="101">IFERROR(Q58+N58+L58,"")</f>
        <v>11.435999999999998</v>
      </c>
    </row>
    <row r="59" spans="1:18" x14ac:dyDescent="0.25">
      <c r="A59" t="s">
        <v>27</v>
      </c>
      <c r="B59" t="str">
        <f t="shared" ref="B59" si="102">IF($G58="","Hide","Show")</f>
        <v>Show</v>
      </c>
      <c r="H59" t="str">
        <f>"12-13 oz"</f>
        <v>12-13 oz</v>
      </c>
    </row>
    <row r="60" spans="1:18" x14ac:dyDescent="0.25">
      <c r="A60" t="s">
        <v>27</v>
      </c>
      <c r="B60" t="str">
        <f t="shared" si="72"/>
        <v>Show</v>
      </c>
      <c r="E60" s="1"/>
      <c r="F60" t="str">
        <f>"""Ceres4"",""TCP-LIVE"",""27"",""1"",""P130020"""</f>
        <v>"Ceres4","TCP-LIVE","27","1","P130020"</v>
      </c>
      <c r="G60" t="str">
        <f>"P130020"</f>
        <v>P130020</v>
      </c>
      <c r="H60" t="str">
        <f>"Condiment - Nacho Cheese"</f>
        <v>Condiment - Nacho Cheese</v>
      </c>
      <c r="I60" s="5" t="str">
        <f>"CS"</f>
        <v>CS</v>
      </c>
      <c r="J60" s="5">
        <v>30</v>
      </c>
      <c r="K60" s="5">
        <v>0</v>
      </c>
      <c r="L60" t="str">
        <f t="shared" ref="L60" si="103">IFERROR(IF(K60*J60=0,"0",K60*J60),0)</f>
        <v>0</v>
      </c>
      <c r="M60" s="5">
        <v>0</v>
      </c>
      <c r="N60" t="str">
        <f t="shared" ref="N60" si="104">IF(M60*J60=0,"0",M60*J60)</f>
        <v>0</v>
      </c>
      <c r="O60" s="5">
        <v>1.2</v>
      </c>
      <c r="P60" s="5">
        <v>49.92</v>
      </c>
      <c r="Q60" s="5">
        <f t="shared" ref="Q60" si="105">P60*O60</f>
        <v>59.903999999999996</v>
      </c>
      <c r="R60" s="6">
        <f t="shared" ref="R60" si="106">IFERROR(Q60+N60+L60,"")</f>
        <v>59.903999999999996</v>
      </c>
    </row>
    <row r="61" spans="1:18" x14ac:dyDescent="0.25">
      <c r="A61" t="s">
        <v>27</v>
      </c>
      <c r="B61" t="str">
        <f t="shared" ref="B61" si="107">IF($G60="","Hide","Show")</f>
        <v>Show</v>
      </c>
      <c r="H61" t="str">
        <f>"4 - 107 oz bag"</f>
        <v>4 - 107 oz bag</v>
      </c>
    </row>
    <row r="62" spans="1:18" x14ac:dyDescent="0.25">
      <c r="A62" t="s">
        <v>27</v>
      </c>
      <c r="B62" t="e">
        <f>IF(#REF!="","Hide","Show")</f>
        <v>#REF!</v>
      </c>
    </row>
    <row r="63" spans="1:18" ht="17.25" x14ac:dyDescent="0.3">
      <c r="A63" t="s">
        <v>27</v>
      </c>
      <c r="B63" t="str">
        <f t="shared" ref="B63" si="108">IF($G64="","Hide","Show")</f>
        <v>Show</v>
      </c>
      <c r="C63" t="str">
        <f>"""Ceres4"",""TCP-LIVE"",""14012281"",""1"",""DAIRY"""</f>
        <v>"Ceres4","TCP-LIVE","14012281","1","DAIRY"</v>
      </c>
      <c r="D63" t="s">
        <v>36</v>
      </c>
      <c r="E63" s="9" t="s">
        <v>10</v>
      </c>
      <c r="F63" s="2"/>
      <c r="G63" s="8" t="s">
        <v>124</v>
      </c>
    </row>
    <row r="64" spans="1:18" x14ac:dyDescent="0.25">
      <c r="A64" t="s">
        <v>27</v>
      </c>
      <c r="B64" t="str">
        <f t="shared" ref="B64:B66" si="109">IF($G64="","Hide","Show")</f>
        <v>Show</v>
      </c>
      <c r="E64" s="1"/>
      <c r="F64" t="s">
        <v>146</v>
      </c>
      <c r="G64" t="s">
        <v>125</v>
      </c>
      <c r="H64" t="s">
        <v>134</v>
      </c>
      <c r="I64" s="5" t="s">
        <v>70</v>
      </c>
      <c r="J64" s="5">
        <v>5</v>
      </c>
      <c r="K64" s="5">
        <v>0</v>
      </c>
      <c r="L64" t="str">
        <f t="shared" ref="L64" si="110">IFERROR(IF(K64*J64=0,"0",K64*J64),0)</f>
        <v>0</v>
      </c>
      <c r="M64" s="5">
        <v>0</v>
      </c>
      <c r="N64" t="str">
        <f t="shared" ref="N64" si="111">IF(M64*J64=0,"0",M64*J64)</f>
        <v>0</v>
      </c>
      <c r="O64" s="5">
        <v>1.1000000000000001</v>
      </c>
      <c r="P64" s="5">
        <v>11.61</v>
      </c>
      <c r="Q64" s="5">
        <f t="shared" ref="Q64" si="112">P64*O64</f>
        <v>12.771000000000001</v>
      </c>
      <c r="R64" s="6">
        <f t="shared" ref="R64" si="113">IFERROR(Q64+N64+L64,"")</f>
        <v>12.771000000000001</v>
      </c>
    </row>
    <row r="65" spans="1:18" x14ac:dyDescent="0.25">
      <c r="A65" t="s">
        <v>27</v>
      </c>
      <c r="B65" t="str">
        <f t="shared" ref="B65" si="114">IF($G64="","Hide","Show")</f>
        <v>Show</v>
      </c>
      <c r="H65" t="s">
        <v>135</v>
      </c>
    </row>
    <row r="66" spans="1:18" x14ac:dyDescent="0.25">
      <c r="A66" t="s">
        <v>27</v>
      </c>
      <c r="B66" t="str">
        <f t="shared" si="109"/>
        <v>Show</v>
      </c>
      <c r="E66" s="1"/>
      <c r="F66" t="str">
        <f>"""Ceres4"",""TCP-LIVE"",""27"",""1"",""P169999"""</f>
        <v>"Ceres4","TCP-LIVE","27","1","P169999"</v>
      </c>
      <c r="G66" t="s">
        <v>126</v>
      </c>
      <c r="H66" t="s">
        <v>136</v>
      </c>
      <c r="I66" s="5" t="s">
        <v>102</v>
      </c>
      <c r="J66" s="5">
        <v>5</v>
      </c>
      <c r="K66" s="5">
        <v>0</v>
      </c>
      <c r="L66" t="str">
        <f t="shared" ref="L66" si="115">IFERROR(IF(K66*J66=0,"0",K66*J66),0)</f>
        <v>0</v>
      </c>
      <c r="M66" s="5">
        <v>0</v>
      </c>
      <c r="N66" t="str">
        <f t="shared" ref="N66" si="116">IF(M66*J66=0,"0",M66*J66)</f>
        <v>0</v>
      </c>
      <c r="O66" s="5">
        <v>1</v>
      </c>
      <c r="P66" s="5">
        <v>12.6975</v>
      </c>
      <c r="Q66" s="5">
        <f t="shared" ref="Q66" si="117">P66*O66</f>
        <v>12.6975</v>
      </c>
      <c r="R66" s="6">
        <f t="shared" ref="R66" si="118">IFERROR(Q66+N66+L66,"")</f>
        <v>12.6975</v>
      </c>
    </row>
    <row r="67" spans="1:18" x14ac:dyDescent="0.25">
      <c r="A67" t="s">
        <v>27</v>
      </c>
      <c r="B67" t="str">
        <f t="shared" ref="B67" si="119">IF($G66="","Hide","Show")</f>
        <v>Show</v>
      </c>
      <c r="H67" t="s">
        <v>137</v>
      </c>
    </row>
    <row r="68" spans="1:18" x14ac:dyDescent="0.25">
      <c r="A68" t="s">
        <v>27</v>
      </c>
      <c r="B68" t="str">
        <f t="shared" ref="B68" si="120">IF($G64="","Hide","Show")</f>
        <v>Show</v>
      </c>
    </row>
    <row r="69" spans="1:18" ht="17.25" x14ac:dyDescent="0.3">
      <c r="A69" t="s">
        <v>27</v>
      </c>
      <c r="B69" t="str">
        <f t="shared" ref="B69" si="121">IF($G70="","Hide","Show")</f>
        <v>Show</v>
      </c>
      <c r="C69" t="str">
        <f>"""Ceres4"",""TCP-LIVE"",""14012281"",""1"",""DESSERT"""</f>
        <v>"Ceres4","TCP-LIVE","14012281","1","DESSERT"</v>
      </c>
      <c r="D69" t="s">
        <v>37</v>
      </c>
      <c r="E69" s="9" t="s">
        <v>10</v>
      </c>
      <c r="F69" s="2"/>
      <c r="G69" s="8" t="s">
        <v>127</v>
      </c>
    </row>
    <row r="70" spans="1:18" x14ac:dyDescent="0.25">
      <c r="A70" t="s">
        <v>27</v>
      </c>
      <c r="B70" t="str">
        <f t="shared" ref="B70:B76" si="122">IF($G70="","Hide","Show")</f>
        <v>Show</v>
      </c>
      <c r="E70" s="1"/>
      <c r="F70" t="s">
        <v>145</v>
      </c>
      <c r="G70" t="s">
        <v>128</v>
      </c>
      <c r="H70" t="s">
        <v>138</v>
      </c>
      <c r="I70" s="5" t="s">
        <v>69</v>
      </c>
      <c r="J70" s="5">
        <v>16</v>
      </c>
      <c r="K70" s="5">
        <v>0</v>
      </c>
      <c r="L70" t="str">
        <f t="shared" ref="L70" si="123">IFERROR(IF(K70*J70=0,"0",K70*J70),0)</f>
        <v>0</v>
      </c>
      <c r="M70" s="5">
        <v>0</v>
      </c>
      <c r="N70" t="str">
        <f t="shared" ref="N70" si="124">IF(M70*J70=0,"0",M70*J70)</f>
        <v>0</v>
      </c>
      <c r="O70" s="5">
        <v>1.2</v>
      </c>
      <c r="P70" s="5">
        <v>13.25</v>
      </c>
      <c r="Q70" s="5">
        <f t="shared" ref="Q70" si="125">P70*O70</f>
        <v>15.899999999999999</v>
      </c>
      <c r="R70" s="6">
        <f t="shared" ref="R70" si="126">IFERROR(Q70+N70+L70,"")</f>
        <v>15.899999999999999</v>
      </c>
    </row>
    <row r="71" spans="1:18" x14ac:dyDescent="0.25">
      <c r="A71" t="s">
        <v>27</v>
      </c>
      <c r="B71" t="str">
        <f t="shared" ref="B71" si="127">IF($G70="","Hide","Show")</f>
        <v>Show</v>
      </c>
      <c r="H71" t="s">
        <v>139</v>
      </c>
    </row>
    <row r="72" spans="1:18" x14ac:dyDescent="0.25">
      <c r="A72" t="s">
        <v>27</v>
      </c>
      <c r="B72" t="str">
        <f t="shared" si="122"/>
        <v>Show</v>
      </c>
      <c r="E72" s="1"/>
      <c r="F72" t="str">
        <f>"""Ceres4"",""TCP-LIVE"",""27"",""1"",""P580004"""</f>
        <v>"Ceres4","TCP-LIVE","27","1","P580004"</v>
      </c>
      <c r="G72" t="s">
        <v>129</v>
      </c>
      <c r="H72" t="s">
        <v>140</v>
      </c>
      <c r="I72" s="5" t="s">
        <v>69</v>
      </c>
      <c r="J72" s="5">
        <v>16</v>
      </c>
      <c r="K72" s="5">
        <v>0</v>
      </c>
      <c r="L72" t="str">
        <f t="shared" ref="L72" si="128">IFERROR(IF(K72*J72=0,"0",K72*J72),0)</f>
        <v>0</v>
      </c>
      <c r="M72" s="5">
        <v>0</v>
      </c>
      <c r="N72" t="str">
        <f t="shared" ref="N72" si="129">IF(M72*J72=0,"0",M72*J72)</f>
        <v>0</v>
      </c>
      <c r="O72" s="5">
        <v>1.2</v>
      </c>
      <c r="P72" s="5">
        <v>12.41</v>
      </c>
      <c r="Q72" s="5">
        <f t="shared" ref="Q72" si="130">P72*O72</f>
        <v>14.891999999999999</v>
      </c>
      <c r="R72" s="6">
        <f t="shared" ref="R72" si="131">IFERROR(Q72+N72+L72,"")</f>
        <v>14.891999999999999</v>
      </c>
    </row>
    <row r="73" spans="1:18" x14ac:dyDescent="0.25">
      <c r="A73" t="s">
        <v>27</v>
      </c>
      <c r="B73" t="str">
        <f t="shared" ref="B73" si="132">IF($G72="","Hide","Show")</f>
        <v>Show</v>
      </c>
      <c r="H73" t="s">
        <v>139</v>
      </c>
    </row>
    <row r="74" spans="1:18" x14ac:dyDescent="0.25">
      <c r="A74" t="s">
        <v>27</v>
      </c>
      <c r="B74" t="str">
        <f t="shared" si="122"/>
        <v>Show</v>
      </c>
      <c r="E74" s="1"/>
      <c r="F74" t="str">
        <f>"""Ceres4"",""TCP-LIVE"",""27"",""1"",""P580005"""</f>
        <v>"Ceres4","TCP-LIVE","27","1","P580005"</v>
      </c>
      <c r="G74" t="s">
        <v>130</v>
      </c>
      <c r="H74" t="s">
        <v>141</v>
      </c>
      <c r="I74" s="5" t="s">
        <v>69</v>
      </c>
      <c r="J74" s="5">
        <v>16</v>
      </c>
      <c r="K74" s="5">
        <v>0</v>
      </c>
      <c r="L74" t="str">
        <f t="shared" ref="L74" si="133">IFERROR(IF(K74*J74=0,"0",K74*J74),0)</f>
        <v>0</v>
      </c>
      <c r="M74" s="5">
        <v>0</v>
      </c>
      <c r="N74" t="str">
        <f t="shared" ref="N74" si="134">IF(M74*J74=0,"0",M74*J74)</f>
        <v>0</v>
      </c>
      <c r="O74" s="5">
        <v>1.2</v>
      </c>
      <c r="P74" s="5">
        <v>12.41</v>
      </c>
      <c r="Q74" s="5">
        <f t="shared" ref="Q74" si="135">P74*O74</f>
        <v>14.891999999999999</v>
      </c>
      <c r="R74" s="6">
        <f t="shared" ref="R74" si="136">IFERROR(Q74+N74+L74,"")</f>
        <v>14.891999999999999</v>
      </c>
    </row>
    <row r="75" spans="1:18" x14ac:dyDescent="0.25">
      <c r="A75" t="s">
        <v>27</v>
      </c>
      <c r="B75" t="str">
        <f t="shared" ref="B75" si="137">IF($G74="","Hide","Show")</f>
        <v>Show</v>
      </c>
      <c r="H75" t="s">
        <v>139</v>
      </c>
    </row>
    <row r="76" spans="1:18" x14ac:dyDescent="0.25">
      <c r="A76" t="s">
        <v>27</v>
      </c>
      <c r="B76" t="str">
        <f t="shared" si="122"/>
        <v>Show</v>
      </c>
      <c r="E76" s="1"/>
      <c r="F76" t="str">
        <f>"""Ceres4"",""TCP-LIVE"",""27"",""1"",""P580006"""</f>
        <v>"Ceres4","TCP-LIVE","27","1","P580006"</v>
      </c>
      <c r="G76" t="s">
        <v>131</v>
      </c>
      <c r="H76" t="s">
        <v>142</v>
      </c>
      <c r="I76" s="5" t="s">
        <v>69</v>
      </c>
      <c r="J76" s="5">
        <v>12</v>
      </c>
      <c r="K76" s="5">
        <v>0</v>
      </c>
      <c r="L76" t="str">
        <f t="shared" ref="L76" si="138">IFERROR(IF(K76*J76=0,"0",K76*J76),0)</f>
        <v>0</v>
      </c>
      <c r="M76" s="5">
        <v>0</v>
      </c>
      <c r="N76" t="str">
        <f t="shared" ref="N76" si="139">IF(M76*J76=0,"0",M76*J76)</f>
        <v>0</v>
      </c>
      <c r="O76" s="5">
        <v>1.2</v>
      </c>
      <c r="P76" s="5">
        <v>10.73</v>
      </c>
      <c r="Q76" s="5">
        <f t="shared" ref="Q76" si="140">P76*O76</f>
        <v>12.875999999999999</v>
      </c>
      <c r="R76" s="6">
        <f t="shared" ref="R76" si="141">IFERROR(Q76+N76+L76,"")</f>
        <v>12.875999999999999</v>
      </c>
    </row>
    <row r="77" spans="1:18" x14ac:dyDescent="0.25">
      <c r="A77" t="s">
        <v>27</v>
      </c>
      <c r="B77" t="str">
        <f t="shared" ref="B77" si="142">IF($G76="","Hide","Show")</f>
        <v>Show</v>
      </c>
      <c r="H77" t="s">
        <v>143</v>
      </c>
    </row>
    <row r="78" spans="1:18" x14ac:dyDescent="0.25">
      <c r="A78" t="s">
        <v>27</v>
      </c>
      <c r="B78" t="str">
        <f t="shared" ref="B78" si="143">IF($G70="","Hide","Show")</f>
        <v>Show</v>
      </c>
    </row>
    <row r="79" spans="1:18" ht="17.25" hidden="1" x14ac:dyDescent="0.3">
      <c r="A79" t="s">
        <v>27</v>
      </c>
      <c r="B79" t="str">
        <f t="shared" ref="B79" si="144">IF($G80="","Hide","Show")</f>
        <v>Hide</v>
      </c>
      <c r="C79" t="str">
        <f>"""Ceres4"",""TCP-LIVE"",""14012281"",""1"",""DRESSING"""</f>
        <v>"Ceres4","TCP-LIVE","14012281","1","DRESSING"</v>
      </c>
      <c r="D79" t="s">
        <v>38</v>
      </c>
      <c r="E79" s="9" t="s">
        <v>10</v>
      </c>
      <c r="F79" s="2"/>
      <c r="G79" s="8" t="s">
        <v>132</v>
      </c>
    </row>
    <row r="80" spans="1:18" hidden="1" x14ac:dyDescent="0.25">
      <c r="A80" t="s">
        <v>27</v>
      </c>
      <c r="B80" t="str">
        <f t="shared" ref="B80" si="145">IF($G80="","Hide","Show")</f>
        <v>Hide</v>
      </c>
      <c r="E80" s="1"/>
      <c r="F80" t="s">
        <v>28</v>
      </c>
      <c r="G80" t="s">
        <v>28</v>
      </c>
      <c r="H80" t="s">
        <v>28</v>
      </c>
      <c r="I80" s="5" t="s">
        <v>28</v>
      </c>
      <c r="J80" s="5" t="s">
        <v>28</v>
      </c>
      <c r="K80" s="5" t="s">
        <v>71</v>
      </c>
      <c r="L80">
        <f t="shared" ref="L80" si="146">IFERROR(IF(K80*J80=0,"0",K80*J80),0)</f>
        <v>0</v>
      </c>
      <c r="M80" s="5" t="s">
        <v>28</v>
      </c>
      <c r="N80" t="e">
        <f t="shared" ref="N80" si="147">IF(M80*J80=0,"0",M80*J80)</f>
        <v>#VALUE!</v>
      </c>
      <c r="O80" s="5" t="s">
        <v>28</v>
      </c>
      <c r="P80" s="5" t="s">
        <v>28</v>
      </c>
      <c r="Q80" s="5" t="e">
        <f t="shared" ref="Q80" si="148">P80*O80</f>
        <v>#VALUE!</v>
      </c>
      <c r="R80" s="6" t="str">
        <f t="shared" ref="R80" si="149">IFERROR(Q80+N80+L80,"")</f>
        <v/>
      </c>
    </row>
    <row r="81" spans="1:18" hidden="1" x14ac:dyDescent="0.25">
      <c r="A81" t="s">
        <v>27</v>
      </c>
      <c r="B81" t="str">
        <f t="shared" ref="B81" si="150">IF($G80="","Hide","Show")</f>
        <v>Hide</v>
      </c>
      <c r="H81" t="s">
        <v>28</v>
      </c>
    </row>
    <row r="82" spans="1:18" hidden="1" x14ac:dyDescent="0.25">
      <c r="A82" t="s">
        <v>27</v>
      </c>
      <c r="B82" t="str">
        <f t="shared" ref="B82" si="151">IF($G80="","Hide","Show")</f>
        <v>Hide</v>
      </c>
    </row>
    <row r="83" spans="1:18" ht="17.25" x14ac:dyDescent="0.3">
      <c r="A83" t="s">
        <v>27</v>
      </c>
      <c r="B83" t="str">
        <f t="shared" ref="B83" si="152">IF($G84="","Hide","Show")</f>
        <v>Show</v>
      </c>
      <c r="C83" t="str">
        <f>"""Ceres4"",""TCP-LIVE"",""14012281"",""1"",""ENTREE"""</f>
        <v>"Ceres4","TCP-LIVE","14012281","1","ENTREE"</v>
      </c>
      <c r="D83" t="s">
        <v>39</v>
      </c>
      <c r="E83" s="9" t="s">
        <v>10</v>
      </c>
      <c r="F83" s="2"/>
      <c r="G83" s="8" t="s">
        <v>133</v>
      </c>
    </row>
    <row r="84" spans="1:18" x14ac:dyDescent="0.25">
      <c r="A84" t="s">
        <v>27</v>
      </c>
      <c r="B84" t="str">
        <f t="shared" ref="B84:B96" si="153">IF($G84="","Hide","Show")</f>
        <v>Show</v>
      </c>
      <c r="E84" s="1"/>
      <c r="F84" t="s">
        <v>144</v>
      </c>
      <c r="G84" t="str">
        <f>"085106"</f>
        <v>085106</v>
      </c>
      <c r="H84" t="str">
        <f>"Breakfast - Chorizo Breakfast Bowl"</f>
        <v>Breakfast - Chorizo Breakfast Bowl</v>
      </c>
      <c r="I84" s="5" t="str">
        <f>"CS"</f>
        <v>CS</v>
      </c>
      <c r="J84" s="5">
        <v>4</v>
      </c>
      <c r="K84" s="5">
        <v>0.19</v>
      </c>
      <c r="L84">
        <f t="shared" ref="L84" si="154">IFERROR(IF(K84*J84=0,"0",K84*J84),0)</f>
        <v>0.76</v>
      </c>
      <c r="M84" s="5">
        <v>0</v>
      </c>
      <c r="N84" t="str">
        <f t="shared" ref="N84" si="155">IF(M84*J84=0,"0",M84*J84)</f>
        <v>0</v>
      </c>
      <c r="O84" s="5">
        <v>1</v>
      </c>
      <c r="P84" s="5">
        <v>0</v>
      </c>
      <c r="Q84" s="5">
        <f t="shared" ref="Q84" si="156">P84*O84</f>
        <v>0</v>
      </c>
      <c r="R84" s="6">
        <f t="shared" ref="R84" si="157">IFERROR(Q84+N84+L84,"")</f>
        <v>0.76</v>
      </c>
    </row>
    <row r="85" spans="1:18" x14ac:dyDescent="0.25">
      <c r="A85" t="s">
        <v>27</v>
      </c>
      <c r="B85" t="str">
        <f t="shared" ref="B85" si="158">IF($G84="","Hide","Show")</f>
        <v>Show</v>
      </c>
      <c r="H85" t="str">
        <f>"8-8 oz"</f>
        <v>8-8 oz</v>
      </c>
    </row>
    <row r="86" spans="1:18" x14ac:dyDescent="0.25">
      <c r="A86" t="s">
        <v>27</v>
      </c>
      <c r="B86" t="str">
        <f t="shared" si="153"/>
        <v>Show</v>
      </c>
      <c r="E86" s="1"/>
      <c r="F86" t="str">
        <f>"""Ceres4"",""TCP-LIVE"",""27"",""1"",""250004"""</f>
        <v>"Ceres4","TCP-LIVE","27","1","250004"</v>
      </c>
      <c r="G86" t="str">
        <f>"250004"</f>
        <v>250004</v>
      </c>
      <c r="H86" t="str">
        <f>"Entree - Pizza"</f>
        <v>Entree - Pizza</v>
      </c>
      <c r="I86" s="5" t="str">
        <f>"CS"</f>
        <v>CS</v>
      </c>
      <c r="J86" s="5">
        <v>25</v>
      </c>
      <c r="K86" s="5">
        <v>0.19</v>
      </c>
      <c r="L86">
        <f t="shared" ref="L86" si="159">IFERROR(IF(K86*J86=0,"0",K86*J86),0)</f>
        <v>4.75</v>
      </c>
      <c r="M86" s="5">
        <v>0</v>
      </c>
      <c r="N86" t="str">
        <f t="shared" ref="N86" si="160">IF(M86*J86=0,"0",M86*J86)</f>
        <v>0</v>
      </c>
      <c r="O86" s="5">
        <v>1</v>
      </c>
      <c r="P86" s="5">
        <v>0</v>
      </c>
      <c r="Q86" s="5">
        <f t="shared" ref="Q86" si="161">P86*O86</f>
        <v>0</v>
      </c>
      <c r="R86" s="6">
        <f t="shared" ref="R86" si="162">IFERROR(Q86+N86+L86,"")</f>
        <v>4.75</v>
      </c>
    </row>
    <row r="87" spans="1:18" x14ac:dyDescent="0.25">
      <c r="A87" t="s">
        <v>27</v>
      </c>
      <c r="B87" t="str">
        <f t="shared" ref="B87" si="163">IF($G86="","Hide","Show")</f>
        <v>Show</v>
      </c>
      <c r="H87" t="str">
        <f>"Bulk 25 lbs"</f>
        <v>Bulk 25 lbs</v>
      </c>
    </row>
    <row r="88" spans="1:18" x14ac:dyDescent="0.25">
      <c r="A88" t="s">
        <v>27</v>
      </c>
      <c r="B88" t="str">
        <f t="shared" si="153"/>
        <v>Show</v>
      </c>
      <c r="E88" s="1"/>
      <c r="F88" t="str">
        <f>"""Ceres4"",""TCP-LIVE"",""27"",""1"",""250158"""</f>
        <v>"Ceres4","TCP-LIVE","27","1","250158"</v>
      </c>
      <c r="G88" t="str">
        <f>"250158"</f>
        <v>250158</v>
      </c>
      <c r="H88" t="str">
        <f>"Entree - Orange Chichen PF Chang's"</f>
        <v>Entree - Orange Chichen PF Chang's</v>
      </c>
      <c r="I88" s="5" t="str">
        <f>"CS"</f>
        <v>CS</v>
      </c>
      <c r="J88" s="5">
        <v>9</v>
      </c>
      <c r="K88" s="5">
        <v>0.19</v>
      </c>
      <c r="L88">
        <f t="shared" ref="L88" si="164">IFERROR(IF(K88*J88=0,"0",K88*J88),0)</f>
        <v>1.71</v>
      </c>
      <c r="M88" s="5">
        <v>0</v>
      </c>
      <c r="N88" t="str">
        <f t="shared" ref="N88" si="165">IF(M88*J88=0,"0",M88*J88)</f>
        <v>0</v>
      </c>
      <c r="O88" s="5">
        <v>1</v>
      </c>
      <c r="P88" s="5">
        <v>0</v>
      </c>
      <c r="Q88" s="5">
        <f t="shared" ref="Q88" si="166">P88*O88</f>
        <v>0</v>
      </c>
      <c r="R88" s="6">
        <f t="shared" ref="R88" si="167">IFERROR(Q88+N88+L88,"")</f>
        <v>1.71</v>
      </c>
    </row>
    <row r="89" spans="1:18" x14ac:dyDescent="0.25">
      <c r="A89" t="s">
        <v>27</v>
      </c>
      <c r="B89" t="str">
        <f t="shared" ref="B89" si="168">IF($G88="","Hide","Show")</f>
        <v>Show</v>
      </c>
      <c r="H89" t="str">
        <f>"4-36 oz"</f>
        <v>4-36 oz</v>
      </c>
    </row>
    <row r="90" spans="1:18" x14ac:dyDescent="0.25">
      <c r="A90" t="s">
        <v>27</v>
      </c>
      <c r="B90" t="str">
        <f t="shared" si="153"/>
        <v>Show</v>
      </c>
      <c r="E90" s="1"/>
      <c r="F90" t="str">
        <f>"""Ceres4"",""TCP-LIVE"",""27"",""1"",""250176"""</f>
        <v>"Ceres4","TCP-LIVE","27","1","250176"</v>
      </c>
      <c r="G90" t="str">
        <f>"250176"</f>
        <v>250176</v>
      </c>
      <c r="H90" t="str">
        <f>"Entree - Spaghetti Rings "</f>
        <v xml:space="preserve">Entree - Spaghetti Rings </v>
      </c>
      <c r="I90" s="5" t="str">
        <f>"CS"</f>
        <v>CS</v>
      </c>
      <c r="J90" s="5">
        <v>28</v>
      </c>
      <c r="K90" s="5">
        <v>0.19</v>
      </c>
      <c r="L90">
        <f t="shared" ref="L90" si="169">IFERROR(IF(K90*J90=0,"0",K90*J90),0)</f>
        <v>5.32</v>
      </c>
      <c r="M90" s="5">
        <v>0</v>
      </c>
      <c r="N90" t="str">
        <f t="shared" ref="N90" si="170">IF(M90*J90=0,"0",M90*J90)</f>
        <v>0</v>
      </c>
      <c r="O90" s="5">
        <v>1</v>
      </c>
      <c r="P90" s="5">
        <v>0</v>
      </c>
      <c r="Q90" s="5">
        <f t="shared" ref="Q90" si="171">P90*O90</f>
        <v>0</v>
      </c>
      <c r="R90" s="6">
        <f t="shared" ref="R90" si="172">IFERROR(Q90+N90+L90,"")</f>
        <v>5.32</v>
      </c>
    </row>
    <row r="91" spans="1:18" x14ac:dyDescent="0.25">
      <c r="A91" t="s">
        <v>27</v>
      </c>
      <c r="B91" t="str">
        <f t="shared" ref="B91" si="173">IF($G90="","Hide","Show")</f>
        <v>Show</v>
      </c>
      <c r="H91" t="str">
        <f>"24-15 oz"</f>
        <v>24-15 oz</v>
      </c>
    </row>
    <row r="92" spans="1:18" x14ac:dyDescent="0.25">
      <c r="A92" t="s">
        <v>27</v>
      </c>
      <c r="B92" t="str">
        <f t="shared" si="153"/>
        <v>Show</v>
      </c>
      <c r="E92" s="1"/>
      <c r="F92" t="str">
        <f>"""Ceres4"",""TCP-LIVE"",""27"",""1"",""P250011"""</f>
        <v>"Ceres4","TCP-LIVE","27","1","P250011"</v>
      </c>
      <c r="G92" t="str">
        <f>"P250011"</f>
        <v>P250011</v>
      </c>
      <c r="H92" t="str">
        <f>"Entree - Stuffed Jalapeno Poppers"</f>
        <v>Entree - Stuffed Jalapeno Poppers</v>
      </c>
      <c r="I92" s="5" t="str">
        <f>"CS"</f>
        <v>CS</v>
      </c>
      <c r="J92" s="5">
        <v>3</v>
      </c>
      <c r="K92" s="5">
        <v>0</v>
      </c>
      <c r="L92" t="str">
        <f t="shared" ref="L92" si="174">IFERROR(IF(K92*J92=0,"0",K92*J92),0)</f>
        <v>0</v>
      </c>
      <c r="M92" s="5">
        <v>0</v>
      </c>
      <c r="N92" t="str">
        <f t="shared" ref="N92" si="175">IF(M92*J92=0,"0",M92*J92)</f>
        <v>0</v>
      </c>
      <c r="O92" s="5">
        <v>1.1000000000000001</v>
      </c>
      <c r="P92" s="5">
        <v>15.495000000000001</v>
      </c>
      <c r="Q92" s="5">
        <f t="shared" ref="Q92" si="176">P92*O92</f>
        <v>17.044500000000003</v>
      </c>
      <c r="R92" s="6">
        <f t="shared" ref="R92" si="177">IFERROR(Q92+N92+L92,"")</f>
        <v>17.044500000000003</v>
      </c>
    </row>
    <row r="93" spans="1:18" x14ac:dyDescent="0.25">
      <c r="A93" t="s">
        <v>27</v>
      </c>
      <c r="B93" t="str">
        <f t="shared" ref="B93" si="178">IF($G92="","Hide","Show")</f>
        <v>Show</v>
      </c>
      <c r="H93" t="str">
        <f>"1-3 lb bag"</f>
        <v>1-3 lb bag</v>
      </c>
    </row>
    <row r="94" spans="1:18" x14ac:dyDescent="0.25">
      <c r="A94" t="s">
        <v>27</v>
      </c>
      <c r="B94" t="str">
        <f t="shared" si="153"/>
        <v>Show</v>
      </c>
      <c r="E94" s="1"/>
      <c r="F94" t="str">
        <f>"""Ceres4"",""TCP-LIVE"",""27"",""1"",""P250045"""</f>
        <v>"Ceres4","TCP-LIVE","27","1","P250045"</v>
      </c>
      <c r="G94" t="str">
        <f>"P250045"</f>
        <v>P250045</v>
      </c>
      <c r="H94" t="str">
        <f>"Entree- Pizza"</f>
        <v>Entree- Pizza</v>
      </c>
      <c r="I94" s="5" t="str">
        <f>"BOX"</f>
        <v>BOX</v>
      </c>
      <c r="J94" s="5">
        <v>18</v>
      </c>
      <c r="K94" s="5">
        <v>0</v>
      </c>
      <c r="L94" t="str">
        <f t="shared" ref="L94" si="179">IFERROR(IF(K94*J94=0,"0",K94*J94),0)</f>
        <v>0</v>
      </c>
      <c r="M94" s="5">
        <v>0</v>
      </c>
      <c r="N94" t="str">
        <f t="shared" ref="N94" si="180">IF(M94*J94=0,"0",M94*J94)</f>
        <v>0</v>
      </c>
      <c r="O94" s="5">
        <v>1.2</v>
      </c>
      <c r="P94" s="5">
        <v>49.75</v>
      </c>
      <c r="Q94" s="5">
        <f t="shared" ref="Q94" si="181">P94*O94</f>
        <v>59.699999999999996</v>
      </c>
      <c r="R94" s="6">
        <f t="shared" ref="R94" si="182">IFERROR(Q94+N94+L94,"")</f>
        <v>59.699999999999996</v>
      </c>
    </row>
    <row r="95" spans="1:18" x14ac:dyDescent="0.25">
      <c r="A95" t="s">
        <v>27</v>
      </c>
      <c r="B95" t="str">
        <f t="shared" ref="B95" si="183">IF($G94="","Hide","Show")</f>
        <v>Show</v>
      </c>
      <c r="H95" t="str">
        <f>"54-5.45 oz"</f>
        <v>54-5.45 oz</v>
      </c>
    </row>
    <row r="96" spans="1:18" x14ac:dyDescent="0.25">
      <c r="A96" t="s">
        <v>27</v>
      </c>
      <c r="B96" t="str">
        <f t="shared" si="153"/>
        <v>Show</v>
      </c>
      <c r="E96" s="1"/>
      <c r="F96" t="str">
        <f>"""Ceres4"",""TCP-LIVE"",""27"",""1"",""P269991"""</f>
        <v>"Ceres4","TCP-LIVE","27","1","P269991"</v>
      </c>
      <c r="G96" t="str">
        <f>"P269991"</f>
        <v>P269991</v>
      </c>
      <c r="H96" t="str">
        <f>"Entree - PB and J Sandwich"</f>
        <v>Entree - PB and J Sandwich</v>
      </c>
      <c r="I96" s="5" t="str">
        <f>"BOX"</f>
        <v>BOX</v>
      </c>
      <c r="J96" s="5">
        <v>14</v>
      </c>
      <c r="K96" s="5">
        <v>0</v>
      </c>
      <c r="L96" t="str">
        <f t="shared" ref="L96" si="184">IFERROR(IF(K96*J96=0,"0",K96*J96),0)</f>
        <v>0</v>
      </c>
      <c r="M96" s="5">
        <v>0</v>
      </c>
      <c r="N96" t="str">
        <f t="shared" ref="N96" si="185">IF(M96*J96=0,"0",M96*J96)</f>
        <v>0</v>
      </c>
      <c r="O96" s="5">
        <v>1.2</v>
      </c>
      <c r="P96" s="5">
        <v>39.870000000000005</v>
      </c>
      <c r="Q96" s="5">
        <f t="shared" ref="Q96" si="186">P96*O96</f>
        <v>47.844000000000001</v>
      </c>
      <c r="R96" s="6">
        <f t="shared" ref="R96" si="187">IFERROR(Q96+N96+L96,"")</f>
        <v>47.844000000000001</v>
      </c>
    </row>
    <row r="97" spans="1:18" x14ac:dyDescent="0.25">
      <c r="A97" t="s">
        <v>27</v>
      </c>
      <c r="B97" t="str">
        <f t="shared" ref="B97" si="188">IF($G96="","Hide","Show")</f>
        <v>Show</v>
      </c>
      <c r="H97" t="str">
        <f>"72-3 oz"</f>
        <v>72-3 oz</v>
      </c>
    </row>
    <row r="98" spans="1:18" x14ac:dyDescent="0.25">
      <c r="A98" t="s">
        <v>27</v>
      </c>
      <c r="B98" t="str">
        <f t="shared" ref="B98" si="189">IF($G84="","Hide","Show")</f>
        <v>Show</v>
      </c>
    </row>
    <row r="99" spans="1:18" ht="17.25" x14ac:dyDescent="0.3">
      <c r="A99" t="s">
        <v>27</v>
      </c>
      <c r="B99" t="str">
        <f t="shared" ref="B99" si="190">IF($G100="","Hide","Show")</f>
        <v>Show</v>
      </c>
      <c r="C99" t="str">
        <f>"""Ceres4"",""TCP-LIVE"",""14012281"",""1"",""FRUIT/ VEG"""</f>
        <v>"Ceres4","TCP-LIVE","14012281","1","FRUIT/ VEG"</v>
      </c>
      <c r="D99" t="s">
        <v>40</v>
      </c>
      <c r="E99" s="9" t="s">
        <v>10</v>
      </c>
      <c r="F99" s="2"/>
      <c r="G99" s="8" t="s">
        <v>122</v>
      </c>
    </row>
    <row r="100" spans="1:18" x14ac:dyDescent="0.25">
      <c r="A100" t="s">
        <v>27</v>
      </c>
      <c r="B100" t="str">
        <f t="shared" ref="B100:B108" si="191">IF($G100="","Hide","Show")</f>
        <v>Show</v>
      </c>
      <c r="E100" s="1"/>
      <c r="F100" t="s">
        <v>123</v>
      </c>
      <c r="G100" t="str">
        <f>"P300002"</f>
        <v>P300002</v>
      </c>
      <c r="H100" t="str">
        <f>"Vegetable - Olives"</f>
        <v>Vegetable - Olives</v>
      </c>
      <c r="I100" s="5" t="str">
        <f>"EA"</f>
        <v>EA</v>
      </c>
      <c r="J100" s="5">
        <v>1</v>
      </c>
      <c r="K100" s="5">
        <v>0</v>
      </c>
      <c r="L100" t="str">
        <f t="shared" ref="L100" si="192">IFERROR(IF(K100*J100=0,"0",K100*J100),0)</f>
        <v>0</v>
      </c>
      <c r="M100" s="5">
        <v>0</v>
      </c>
      <c r="N100" t="str">
        <f t="shared" ref="N100" si="193">IF(M100*J100=0,"0",M100*J100)</f>
        <v>0</v>
      </c>
      <c r="O100" s="5">
        <v>1.2</v>
      </c>
      <c r="P100" s="5">
        <v>1.0900000000000001</v>
      </c>
      <c r="Q100" s="5">
        <f t="shared" ref="Q100" si="194">P100*O100</f>
        <v>1.3080000000000001</v>
      </c>
      <c r="R100" s="6">
        <f t="shared" ref="R100" si="195">IFERROR(Q100+N100+L100,"")</f>
        <v>1.3080000000000001</v>
      </c>
    </row>
    <row r="101" spans="1:18" x14ac:dyDescent="0.25">
      <c r="A101" t="s">
        <v>27</v>
      </c>
      <c r="B101" t="str">
        <f t="shared" ref="B101" si="196">IF($G100="","Hide","Show")</f>
        <v>Show</v>
      </c>
      <c r="H101" t="str">
        <f>"1- 16 oz"</f>
        <v>1- 16 oz</v>
      </c>
    </row>
    <row r="102" spans="1:18" x14ac:dyDescent="0.25">
      <c r="A102" t="s">
        <v>27</v>
      </c>
      <c r="B102" t="str">
        <f t="shared" si="191"/>
        <v>Show</v>
      </c>
      <c r="E102" s="1"/>
      <c r="F102" t="str">
        <f>"""Ceres4"",""TCP-LIVE"",""27"",""1"",""P300005"""</f>
        <v>"Ceres4","TCP-LIVE","27","1","P300005"</v>
      </c>
      <c r="G102" t="str">
        <f>"P300005"</f>
        <v>P300005</v>
      </c>
      <c r="H102" t="str">
        <f>"Vegetable-Canned Green Beans"</f>
        <v>Vegetable-Canned Green Beans</v>
      </c>
      <c r="I102" s="5" t="str">
        <f>"CS"</f>
        <v>CS</v>
      </c>
      <c r="J102" s="5">
        <v>28</v>
      </c>
      <c r="K102" s="5">
        <v>0</v>
      </c>
      <c r="L102" t="str">
        <f t="shared" ref="L102" si="197">IFERROR(IF(K102*J102=0,"0",K102*J102),0)</f>
        <v>0</v>
      </c>
      <c r="M102" s="5">
        <v>0</v>
      </c>
      <c r="N102" t="str">
        <f t="shared" ref="N102" si="198">IF(M102*J102=0,"0",M102*J102)</f>
        <v>0</v>
      </c>
      <c r="O102" s="5">
        <v>1.2</v>
      </c>
      <c r="P102" s="5">
        <v>12.59</v>
      </c>
      <c r="Q102" s="5">
        <f t="shared" ref="Q102" si="199">P102*O102</f>
        <v>15.107999999999999</v>
      </c>
      <c r="R102" s="6">
        <f t="shared" ref="R102" si="200">IFERROR(Q102+N102+L102,"")</f>
        <v>15.107999999999999</v>
      </c>
    </row>
    <row r="103" spans="1:18" x14ac:dyDescent="0.25">
      <c r="A103" t="s">
        <v>27</v>
      </c>
      <c r="B103" t="str">
        <f t="shared" ref="B103" si="201">IF($G102="","Hide","Show")</f>
        <v>Show</v>
      </c>
      <c r="H103" t="str">
        <f>"24-15 oz"</f>
        <v>24-15 oz</v>
      </c>
    </row>
    <row r="104" spans="1:18" x14ac:dyDescent="0.25">
      <c r="A104" t="s">
        <v>27</v>
      </c>
      <c r="B104" t="str">
        <f t="shared" si="191"/>
        <v>Show</v>
      </c>
      <c r="E104" s="1"/>
      <c r="F104" t="str">
        <f>"""Ceres4"",""TCP-LIVE"",""27"",""1"",""P300030"""</f>
        <v>"Ceres4","TCP-LIVE","27","1","P300030"</v>
      </c>
      <c r="G104" t="str">
        <f>"P300030"</f>
        <v>P300030</v>
      </c>
      <c r="H104" t="str">
        <f>"Fruit - Sliced Peaches"</f>
        <v>Fruit - Sliced Peaches</v>
      </c>
      <c r="I104" s="5" t="str">
        <f>"CS"</f>
        <v>CS</v>
      </c>
      <c r="J104" s="5">
        <v>23</v>
      </c>
      <c r="K104" s="5">
        <v>0</v>
      </c>
      <c r="L104" t="str">
        <f t="shared" ref="L104" si="202">IFERROR(IF(K104*J104=0,"0",K104*J104),0)</f>
        <v>0</v>
      </c>
      <c r="M104" s="5">
        <v>0</v>
      </c>
      <c r="N104" t="str">
        <f t="shared" ref="N104" si="203">IF(M104*J104=0,"0",M104*J104)</f>
        <v>0</v>
      </c>
      <c r="O104" s="5">
        <v>1.2</v>
      </c>
      <c r="P104" s="5">
        <v>16.670000000000002</v>
      </c>
      <c r="Q104" s="5">
        <f t="shared" ref="Q104" si="204">P104*O104</f>
        <v>20.004000000000001</v>
      </c>
      <c r="R104" s="6">
        <f t="shared" ref="R104" si="205">IFERROR(Q104+N104+L104,"")</f>
        <v>20.004000000000001</v>
      </c>
    </row>
    <row r="105" spans="1:18" x14ac:dyDescent="0.25">
      <c r="A105" t="s">
        <v>27</v>
      </c>
      <c r="B105" t="str">
        <f t="shared" ref="B105" si="206">IF($G104="","Hide","Show")</f>
        <v>Show</v>
      </c>
      <c r="H105" t="str">
        <f>"24-15 oz"</f>
        <v>24-15 oz</v>
      </c>
    </row>
    <row r="106" spans="1:18" x14ac:dyDescent="0.25">
      <c r="A106" t="s">
        <v>27</v>
      </c>
      <c r="B106" t="str">
        <f t="shared" si="191"/>
        <v>Show</v>
      </c>
      <c r="E106" s="1"/>
      <c r="F106" t="str">
        <f>"""Ceres4"",""TCP-LIVE"",""27"",""1"",""P300038"""</f>
        <v>"Ceres4","TCP-LIVE","27","1","P300038"</v>
      </c>
      <c r="G106" t="str">
        <f>"P300038"</f>
        <v>P300038</v>
      </c>
      <c r="H106" t="str">
        <f>"Fruit - Crushed Pineapple"</f>
        <v>Fruit - Crushed Pineapple</v>
      </c>
      <c r="I106" s="5" t="str">
        <f>"CS"</f>
        <v>CS</v>
      </c>
      <c r="J106" s="5">
        <v>30</v>
      </c>
      <c r="K106" s="5">
        <v>0</v>
      </c>
      <c r="L106" t="str">
        <f t="shared" ref="L106" si="207">IFERROR(IF(K106*J106=0,"0",K106*J106),0)</f>
        <v>0</v>
      </c>
      <c r="M106" s="5">
        <v>0</v>
      </c>
      <c r="N106" t="str">
        <f t="shared" ref="N106" si="208">IF(M106*J106=0,"0",M106*J106)</f>
        <v>0</v>
      </c>
      <c r="O106" s="5">
        <v>1.1499999999999999</v>
      </c>
      <c r="P106" s="5">
        <v>18.59</v>
      </c>
      <c r="Q106" s="5">
        <f t="shared" ref="Q106" si="209">P106*O106</f>
        <v>21.378499999999999</v>
      </c>
      <c r="R106" s="6">
        <f t="shared" ref="R106" si="210">IFERROR(Q106+N106+L106,"")</f>
        <v>21.378499999999999</v>
      </c>
    </row>
    <row r="107" spans="1:18" x14ac:dyDescent="0.25">
      <c r="A107" t="s">
        <v>27</v>
      </c>
      <c r="B107" t="str">
        <f t="shared" ref="B107" si="211">IF($G106="","Hide","Show")</f>
        <v>Show</v>
      </c>
      <c r="H107" t="str">
        <f>"24-20 oz"</f>
        <v>24-20 oz</v>
      </c>
    </row>
    <row r="108" spans="1:18" x14ac:dyDescent="0.25">
      <c r="A108" t="s">
        <v>27</v>
      </c>
      <c r="B108" t="str">
        <f t="shared" si="191"/>
        <v>Show</v>
      </c>
      <c r="E108" s="1"/>
      <c r="F108" t="str">
        <f>"""Ceres4"",""TCP-LIVE"",""27"",""1"",""P319999"""</f>
        <v>"Ceres4","TCP-LIVE","27","1","P319999"</v>
      </c>
      <c r="G108" t="str">
        <f>"P319999"</f>
        <v>P319999</v>
      </c>
      <c r="H108" t="str">
        <f>"Vegetable- Yams"</f>
        <v>Vegetable- Yams</v>
      </c>
      <c r="I108" s="5" t="str">
        <f>"EA"</f>
        <v>EA</v>
      </c>
      <c r="J108" s="5">
        <v>1</v>
      </c>
      <c r="K108" s="5">
        <v>0</v>
      </c>
      <c r="L108" t="str">
        <f t="shared" ref="L108" si="212">IFERROR(IF(K108*J108=0,"0",K108*J108),0)</f>
        <v>0</v>
      </c>
      <c r="M108" s="5">
        <v>0</v>
      </c>
      <c r="N108" t="str">
        <f t="shared" ref="N108" si="213">IF(M108*J108=0,"0",M108*J108)</f>
        <v>0</v>
      </c>
      <c r="O108" s="5">
        <v>1.2</v>
      </c>
      <c r="P108" s="5">
        <v>0.99</v>
      </c>
      <c r="Q108" s="5">
        <f t="shared" ref="Q108" si="214">P108*O108</f>
        <v>1.1879999999999999</v>
      </c>
      <c r="R108" s="6">
        <f t="shared" ref="R108" si="215">IFERROR(Q108+N108+L108,"")</f>
        <v>1.1879999999999999</v>
      </c>
    </row>
    <row r="109" spans="1:18" x14ac:dyDescent="0.25">
      <c r="A109" t="s">
        <v>27</v>
      </c>
      <c r="B109" t="str">
        <f t="shared" ref="B109" si="216">IF($G108="","Hide","Show")</f>
        <v>Show</v>
      </c>
      <c r="H109" t="str">
        <f>"1- 16 oz"</f>
        <v>1- 16 oz</v>
      </c>
    </row>
    <row r="110" spans="1:18" x14ac:dyDescent="0.25">
      <c r="A110" t="s">
        <v>27</v>
      </c>
      <c r="B110" t="str">
        <f t="shared" ref="B110" si="217">IF($G100="","Hide","Show")</f>
        <v>Show</v>
      </c>
    </row>
    <row r="111" spans="1:18" ht="17.25" hidden="1" x14ac:dyDescent="0.3">
      <c r="A111" t="s">
        <v>27</v>
      </c>
      <c r="B111" t="str">
        <f t="shared" ref="B111" si="218">IF($G112="","Hide","Show")</f>
        <v>Hide</v>
      </c>
      <c r="C111" t="str">
        <f>"""Ceres4"",""TCP-LIVE"",""14012281"",""1"",""GRAIN"""</f>
        <v>"Ceres4","TCP-LIVE","14012281","1","GRAIN"</v>
      </c>
      <c r="D111" t="s">
        <v>41</v>
      </c>
      <c r="E111" s="9" t="s">
        <v>10</v>
      </c>
      <c r="F111" s="2"/>
      <c r="G111" s="8" t="s">
        <v>78</v>
      </c>
    </row>
    <row r="112" spans="1:18" hidden="1" x14ac:dyDescent="0.25">
      <c r="A112" t="s">
        <v>27</v>
      </c>
      <c r="B112" t="str">
        <f t="shared" ref="B112" si="219">IF($G112="","Hide","Show")</f>
        <v>Hide</v>
      </c>
      <c r="E112" s="1"/>
      <c r="F112" t="s">
        <v>28</v>
      </c>
      <c r="G112" t="s">
        <v>28</v>
      </c>
      <c r="H112" t="s">
        <v>28</v>
      </c>
      <c r="I112" s="5" t="s">
        <v>28</v>
      </c>
      <c r="J112" s="5" t="s">
        <v>28</v>
      </c>
      <c r="K112" s="5" t="s">
        <v>71</v>
      </c>
      <c r="L112">
        <f t="shared" ref="L112" si="220">IFERROR(IF(K112*J112=0,"0",K112*J112),0)</f>
        <v>0</v>
      </c>
      <c r="M112" s="5" t="s">
        <v>28</v>
      </c>
      <c r="N112" t="e">
        <f t="shared" ref="N112" si="221">IF(M112*J112=0,"0",M112*J112)</f>
        <v>#VALUE!</v>
      </c>
      <c r="O112" s="5" t="s">
        <v>28</v>
      </c>
      <c r="P112" s="5" t="s">
        <v>28</v>
      </c>
      <c r="Q112" s="5" t="e">
        <f t="shared" ref="Q112" si="222">P112*O112</f>
        <v>#VALUE!</v>
      </c>
      <c r="R112" s="6" t="str">
        <f t="shared" ref="R112" si="223">IFERROR(Q112+N112+L112,"")</f>
        <v/>
      </c>
    </row>
    <row r="113" spans="1:18" hidden="1" x14ac:dyDescent="0.25">
      <c r="A113" t="s">
        <v>27</v>
      </c>
      <c r="B113" t="str">
        <f t="shared" ref="B113" si="224">IF($G112="","Hide","Show")</f>
        <v>Hide</v>
      </c>
      <c r="H113" t="s">
        <v>28</v>
      </c>
    </row>
    <row r="114" spans="1:18" hidden="1" x14ac:dyDescent="0.25">
      <c r="A114" t="s">
        <v>27</v>
      </c>
      <c r="B114" t="str">
        <f t="shared" ref="B114" si="225">IF($G112="","Hide","Show")</f>
        <v>Hide</v>
      </c>
    </row>
    <row r="115" spans="1:18" ht="17.25" x14ac:dyDescent="0.3">
      <c r="A115" t="s">
        <v>27</v>
      </c>
      <c r="B115" t="str">
        <f t="shared" ref="B115" si="226">IF($G116="","Hide","Show")</f>
        <v>Show</v>
      </c>
      <c r="C115" t="str">
        <f>"""Ceres4"",""TCP-LIVE"",""14012281"",""1"",""HOUSE PAP"""</f>
        <v>"Ceres4","TCP-LIVE","14012281","1","HOUSE PAP"</v>
      </c>
      <c r="D115" t="s">
        <v>42</v>
      </c>
      <c r="E115" s="9" t="s">
        <v>10</v>
      </c>
      <c r="F115" s="2"/>
      <c r="G115" s="8" t="s">
        <v>79</v>
      </c>
    </row>
    <row r="116" spans="1:18" x14ac:dyDescent="0.25">
      <c r="A116" t="s">
        <v>27</v>
      </c>
      <c r="B116" t="str">
        <f t="shared" ref="B116:B118" si="227">IF($G116="","Hide","Show")</f>
        <v>Show</v>
      </c>
      <c r="E116" s="1"/>
      <c r="F116" t="s">
        <v>121</v>
      </c>
      <c r="G116" t="s">
        <v>80</v>
      </c>
      <c r="H116" t="s">
        <v>103</v>
      </c>
      <c r="I116" s="5" t="s">
        <v>70</v>
      </c>
      <c r="J116" s="5">
        <v>100</v>
      </c>
      <c r="K116" s="5">
        <v>0.19</v>
      </c>
      <c r="L116">
        <f t="shared" ref="L116" si="228">IFERROR(IF(K116*J116=0,"0",K116*J116),0)</f>
        <v>19</v>
      </c>
      <c r="M116" s="5">
        <v>0</v>
      </c>
      <c r="N116" t="str">
        <f t="shared" ref="N116" si="229">IF(M116*J116=0,"0",M116*J116)</f>
        <v>0</v>
      </c>
      <c r="O116" s="5">
        <v>1</v>
      </c>
      <c r="P116" s="5">
        <v>0</v>
      </c>
      <c r="Q116" s="5">
        <f t="shared" ref="Q116" si="230">P116*O116</f>
        <v>0</v>
      </c>
      <c r="R116" s="6">
        <f t="shared" ref="R116" si="231">IFERROR(Q116+N116+L116,"")</f>
        <v>19</v>
      </c>
    </row>
    <row r="117" spans="1:18" x14ac:dyDescent="0.25">
      <c r="A117" t="s">
        <v>27</v>
      </c>
      <c r="B117" t="str">
        <f t="shared" ref="B117" si="232">IF($G116="","Hide","Show")</f>
        <v>Show</v>
      </c>
      <c r="H117" t="s">
        <v>104</v>
      </c>
    </row>
    <row r="118" spans="1:18" x14ac:dyDescent="0.25">
      <c r="A118" t="s">
        <v>27</v>
      </c>
      <c r="B118" t="str">
        <f t="shared" si="227"/>
        <v>Show</v>
      </c>
      <c r="E118" s="1"/>
      <c r="F118" t="str">
        <f>"""Ceres4"",""TCP-LIVE"",""27"",""1"",""P950036"""</f>
        <v>"Ceres4","TCP-LIVE","27","1","P950036"</v>
      </c>
      <c r="G118" t="s">
        <v>81</v>
      </c>
      <c r="H118" t="s">
        <v>105</v>
      </c>
      <c r="I118" s="5" t="s">
        <v>69</v>
      </c>
      <c r="J118" s="5">
        <v>8</v>
      </c>
      <c r="K118" s="5">
        <v>0</v>
      </c>
      <c r="L118" t="str">
        <f t="shared" ref="L118" si="233">IFERROR(IF(K118*J118=0,"0",K118*J118),0)</f>
        <v>0</v>
      </c>
      <c r="M118" s="5">
        <v>0</v>
      </c>
      <c r="N118" t="str">
        <f t="shared" ref="N118" si="234">IF(M118*J118=0,"0",M118*J118)</f>
        <v>0</v>
      </c>
      <c r="O118" s="5">
        <v>1.2</v>
      </c>
      <c r="P118" s="5">
        <v>14.27</v>
      </c>
      <c r="Q118" s="5">
        <f t="shared" ref="Q118" si="235">P118*O118</f>
        <v>17.123999999999999</v>
      </c>
      <c r="R118" s="6">
        <f t="shared" ref="R118" si="236">IFERROR(Q118+N118+L118,"")</f>
        <v>17.123999999999999</v>
      </c>
    </row>
    <row r="119" spans="1:18" x14ac:dyDescent="0.25">
      <c r="A119" t="s">
        <v>27</v>
      </c>
      <c r="B119" t="str">
        <f t="shared" ref="B119" si="237">IF($G118="","Hide","Show")</f>
        <v>Show</v>
      </c>
      <c r="H119" t="s">
        <v>106</v>
      </c>
    </row>
    <row r="120" spans="1:18" x14ac:dyDescent="0.25">
      <c r="A120" t="s">
        <v>27</v>
      </c>
      <c r="B120" t="str">
        <f t="shared" ref="B120" si="238">IF($G116="","Hide","Show")</f>
        <v>Show</v>
      </c>
    </row>
    <row r="121" spans="1:18" ht="17.25" x14ac:dyDescent="0.3">
      <c r="A121" t="s">
        <v>27</v>
      </c>
      <c r="B121" t="e">
        <f>IF(#REF!="","Hide","Show")</f>
        <v>#REF!</v>
      </c>
      <c r="C121" t="str">
        <f>"""Ceres4"",""TCP-LIVE"",""14012281"",""1"",""HOUSE/SAN"""</f>
        <v>"Ceres4","TCP-LIVE","14012281","1","HOUSE/SAN"</v>
      </c>
      <c r="D121" t="s">
        <v>43</v>
      </c>
      <c r="E121" s="9" t="s">
        <v>10</v>
      </c>
      <c r="F121" s="2"/>
      <c r="G121" s="8" t="s">
        <v>82</v>
      </c>
    </row>
    <row r="122" spans="1:18" x14ac:dyDescent="0.25">
      <c r="A122" t="s">
        <v>27</v>
      </c>
      <c r="B122" t="str">
        <f t="shared" ref="B122" si="239">IF($G122="","Hide","Show")</f>
        <v>Show</v>
      </c>
      <c r="E122" s="1"/>
      <c r="F122" t="str">
        <f>"""Ceres4"",""TCP-LIVE"",""27"",""1"",""P997003"""</f>
        <v>"Ceres4","TCP-LIVE","27","1","P997003"</v>
      </c>
      <c r="G122" t="s">
        <v>83</v>
      </c>
      <c r="H122" t="s">
        <v>107</v>
      </c>
      <c r="I122" s="5" t="s">
        <v>102</v>
      </c>
      <c r="J122" s="5">
        <v>14</v>
      </c>
      <c r="K122" s="5">
        <v>0</v>
      </c>
      <c r="L122" t="str">
        <f t="shared" ref="L122" si="240">IFERROR(IF(K122*J122=0,"0",K122*J122),0)</f>
        <v>0</v>
      </c>
      <c r="M122" s="5">
        <v>0</v>
      </c>
      <c r="N122" t="str">
        <f t="shared" ref="N122" si="241">IF(M122*J122=0,"0",M122*J122)</f>
        <v>0</v>
      </c>
      <c r="O122" s="5">
        <v>1.2</v>
      </c>
      <c r="P122" s="5">
        <v>32.799999999999997</v>
      </c>
      <c r="Q122" s="5">
        <f t="shared" ref="Q122" si="242">P122*O122</f>
        <v>39.359999999999992</v>
      </c>
      <c r="R122" s="6">
        <f t="shared" ref="R122" si="243">IFERROR(Q122+N122+L122,"")</f>
        <v>39.359999999999992</v>
      </c>
    </row>
    <row r="123" spans="1:18" x14ac:dyDescent="0.25">
      <c r="A123" t="s">
        <v>27</v>
      </c>
      <c r="B123" t="str">
        <f t="shared" ref="B123" si="244">IF($G122="","Hide","Show")</f>
        <v>Show</v>
      </c>
      <c r="H123" t="s">
        <v>108</v>
      </c>
    </row>
    <row r="124" spans="1:18" x14ac:dyDescent="0.25">
      <c r="A124" t="s">
        <v>27</v>
      </c>
      <c r="B124" t="e">
        <f>IF(#REF!="","Hide","Show")</f>
        <v>#REF!</v>
      </c>
    </row>
    <row r="125" spans="1:18" ht="17.25" hidden="1" x14ac:dyDescent="0.3">
      <c r="A125" t="s">
        <v>27</v>
      </c>
      <c r="B125" t="str">
        <f t="shared" ref="B125" si="245">IF($G126="","Hide","Show")</f>
        <v>Hide</v>
      </c>
      <c r="C125" t="str">
        <f>"""Ceres4"",""TCP-LIVE"",""14012281"",""1"",""JUICE"""</f>
        <v>"Ceres4","TCP-LIVE","14012281","1","JUICE"</v>
      </c>
      <c r="D125" t="s">
        <v>44</v>
      </c>
      <c r="E125" s="9" t="s">
        <v>10</v>
      </c>
      <c r="F125" s="2"/>
      <c r="G125" s="8" t="s">
        <v>84</v>
      </c>
    </row>
    <row r="126" spans="1:18" hidden="1" x14ac:dyDescent="0.25">
      <c r="A126" t="s">
        <v>27</v>
      </c>
      <c r="B126" t="str">
        <f t="shared" ref="B126" si="246">IF($G126="","Hide","Show")</f>
        <v>Hide</v>
      </c>
      <c r="E126" s="1"/>
      <c r="F126" t="s">
        <v>28</v>
      </c>
      <c r="G126" t="s">
        <v>28</v>
      </c>
      <c r="H126" t="s">
        <v>28</v>
      </c>
      <c r="I126" s="5" t="s">
        <v>28</v>
      </c>
      <c r="J126" s="5" t="s">
        <v>28</v>
      </c>
      <c r="K126" s="5" t="s">
        <v>71</v>
      </c>
      <c r="L126">
        <f t="shared" ref="L126" si="247">IFERROR(IF(K126*J126=0,"0",K126*J126),0)</f>
        <v>0</v>
      </c>
      <c r="M126" s="5" t="s">
        <v>28</v>
      </c>
      <c r="N126" t="e">
        <f t="shared" ref="N126" si="248">IF(M126*J126=0,"0",M126*J126)</f>
        <v>#VALUE!</v>
      </c>
      <c r="O126" s="5" t="s">
        <v>28</v>
      </c>
      <c r="P126" s="5" t="s">
        <v>28</v>
      </c>
      <c r="Q126" s="5" t="e">
        <f t="shared" ref="Q126" si="249">P126*O126</f>
        <v>#VALUE!</v>
      </c>
      <c r="R126" s="6" t="str">
        <f t="shared" ref="R126" si="250">IFERROR(Q126+N126+L126,"")</f>
        <v/>
      </c>
    </row>
    <row r="127" spans="1:18" hidden="1" x14ac:dyDescent="0.25">
      <c r="A127" t="s">
        <v>27</v>
      </c>
      <c r="B127" t="str">
        <f t="shared" ref="B127" si="251">IF($G126="","Hide","Show")</f>
        <v>Hide</v>
      </c>
      <c r="H127" t="s">
        <v>28</v>
      </c>
    </row>
    <row r="128" spans="1:18" hidden="1" x14ac:dyDescent="0.25">
      <c r="A128" t="s">
        <v>27</v>
      </c>
      <c r="B128" t="str">
        <f t="shared" ref="B128" si="252">IF($G126="","Hide","Show")</f>
        <v>Hide</v>
      </c>
    </row>
    <row r="129" spans="1:18" ht="17.25" hidden="1" x14ac:dyDescent="0.3">
      <c r="A129" t="s">
        <v>27</v>
      </c>
      <c r="B129" t="str">
        <f t="shared" ref="B129" si="253">IF($G130="","Hide","Show")</f>
        <v>Hide</v>
      </c>
      <c r="C129" t="str">
        <f>"""Ceres4"",""TCP-LIVE"",""14012281"",""1"",""MIXED/ASST"""</f>
        <v>"Ceres4","TCP-LIVE","14012281","1","MIXED/ASST"</v>
      </c>
      <c r="D129" t="s">
        <v>45</v>
      </c>
      <c r="E129" s="9" t="s">
        <v>10</v>
      </c>
      <c r="F129" s="2"/>
      <c r="G129" s="8" t="s">
        <v>85</v>
      </c>
    </row>
    <row r="130" spans="1:18" hidden="1" x14ac:dyDescent="0.25">
      <c r="A130" t="s">
        <v>27</v>
      </c>
      <c r="B130" t="str">
        <f t="shared" ref="B130" si="254">IF($G130="","Hide","Show")</f>
        <v>Hide</v>
      </c>
      <c r="E130" s="1"/>
      <c r="F130" t="s">
        <v>28</v>
      </c>
      <c r="G130" t="s">
        <v>28</v>
      </c>
      <c r="H130" t="s">
        <v>28</v>
      </c>
      <c r="I130" s="5" t="s">
        <v>28</v>
      </c>
      <c r="J130" s="5" t="s">
        <v>28</v>
      </c>
      <c r="K130" s="5" t="s">
        <v>71</v>
      </c>
      <c r="L130">
        <f t="shared" ref="L130" si="255">IFERROR(IF(K130*J130=0,"0",K130*J130),0)</f>
        <v>0</v>
      </c>
      <c r="M130" s="5" t="s">
        <v>28</v>
      </c>
      <c r="N130" t="e">
        <f t="shared" ref="N130" si="256">IF(M130*J130=0,"0",M130*J130)</f>
        <v>#VALUE!</v>
      </c>
      <c r="O130" s="5" t="s">
        <v>28</v>
      </c>
      <c r="P130" s="5" t="s">
        <v>28</v>
      </c>
      <c r="Q130" s="5" t="e">
        <f t="shared" ref="Q130" si="257">P130*O130</f>
        <v>#VALUE!</v>
      </c>
      <c r="R130" s="6" t="str">
        <f t="shared" ref="R130" si="258">IFERROR(Q130+N130+L130,"")</f>
        <v/>
      </c>
    </row>
    <row r="131" spans="1:18" hidden="1" x14ac:dyDescent="0.25">
      <c r="A131" t="s">
        <v>27</v>
      </c>
      <c r="B131" t="str">
        <f t="shared" ref="B131" si="259">IF($G130="","Hide","Show")</f>
        <v>Hide</v>
      </c>
      <c r="H131" t="s">
        <v>28</v>
      </c>
    </row>
    <row r="132" spans="1:18" hidden="1" x14ac:dyDescent="0.25">
      <c r="A132" t="s">
        <v>27</v>
      </c>
      <c r="B132" t="str">
        <f t="shared" ref="B132" si="260">IF($G130="","Hide","Show")</f>
        <v>Hide</v>
      </c>
    </row>
    <row r="133" spans="1:18" ht="17.25" hidden="1" x14ac:dyDescent="0.3">
      <c r="A133" t="s">
        <v>27</v>
      </c>
      <c r="B133" t="str">
        <f t="shared" ref="B133" si="261">IF($G134="","Hide","Show")</f>
        <v>Hide</v>
      </c>
      <c r="C133" t="str">
        <f>"""Ceres4"",""TCP-LIVE"",""14012281"",""1"",""NF"""</f>
        <v>"Ceres4","TCP-LIVE","14012281","1","NF"</v>
      </c>
      <c r="D133" t="s">
        <v>46</v>
      </c>
      <c r="E133" s="9" t="s">
        <v>10</v>
      </c>
      <c r="F133" s="2"/>
      <c r="G133" s="8" t="s">
        <v>86</v>
      </c>
    </row>
    <row r="134" spans="1:18" hidden="1" x14ac:dyDescent="0.25">
      <c r="A134" t="s">
        <v>27</v>
      </c>
      <c r="B134" t="str">
        <f t="shared" ref="B134" si="262">IF($G134="","Hide","Show")</f>
        <v>Hide</v>
      </c>
      <c r="E134" s="1"/>
      <c r="F134" t="s">
        <v>28</v>
      </c>
      <c r="G134" t="s">
        <v>28</v>
      </c>
      <c r="H134" t="s">
        <v>28</v>
      </c>
      <c r="I134" s="5" t="s">
        <v>28</v>
      </c>
      <c r="J134" s="5" t="s">
        <v>28</v>
      </c>
      <c r="K134" s="5" t="s">
        <v>71</v>
      </c>
      <c r="L134">
        <f t="shared" ref="L134" si="263">IFERROR(IF(K134*J134=0,"0",K134*J134),0)</f>
        <v>0</v>
      </c>
      <c r="M134" s="5" t="s">
        <v>28</v>
      </c>
      <c r="N134" t="e">
        <f t="shared" ref="N134" si="264">IF(M134*J134=0,"0",M134*J134)</f>
        <v>#VALUE!</v>
      </c>
      <c r="O134" s="5" t="s">
        <v>28</v>
      </c>
      <c r="P134" s="5" t="s">
        <v>28</v>
      </c>
      <c r="Q134" s="5" t="e">
        <f t="shared" ref="Q134" si="265">P134*O134</f>
        <v>#VALUE!</v>
      </c>
      <c r="R134" s="6" t="str">
        <f t="shared" ref="R134" si="266">IFERROR(Q134+N134+L134,"")</f>
        <v/>
      </c>
    </row>
    <row r="135" spans="1:18" hidden="1" x14ac:dyDescent="0.25">
      <c r="A135" t="s">
        <v>27</v>
      </c>
      <c r="B135" t="str">
        <f t="shared" ref="B135" si="267">IF($G134="","Hide","Show")</f>
        <v>Hide</v>
      </c>
      <c r="H135" t="s">
        <v>28</v>
      </c>
    </row>
    <row r="136" spans="1:18" hidden="1" x14ac:dyDescent="0.25">
      <c r="A136" t="s">
        <v>27</v>
      </c>
      <c r="B136" t="str">
        <f t="shared" ref="B136" si="268">IF($G134="","Hide","Show")</f>
        <v>Hide</v>
      </c>
    </row>
    <row r="137" spans="1:18" ht="17.25" hidden="1" x14ac:dyDescent="0.3">
      <c r="A137" t="s">
        <v>27</v>
      </c>
      <c r="B137" t="str">
        <f t="shared" ref="B137" si="269">IF($G138="","Hide","Show")</f>
        <v>Hide</v>
      </c>
      <c r="C137" t="str">
        <f>"""Ceres4"",""TCP-LIVE"",""14012281"",""1"",""NONDAIRY"""</f>
        <v>"Ceres4","TCP-LIVE","14012281","1","NONDAIRY"</v>
      </c>
      <c r="D137" t="s">
        <v>47</v>
      </c>
      <c r="E137" s="9" t="s">
        <v>10</v>
      </c>
      <c r="F137" s="2"/>
      <c r="G137" s="8" t="s">
        <v>87</v>
      </c>
    </row>
    <row r="138" spans="1:18" hidden="1" x14ac:dyDescent="0.25">
      <c r="A138" t="s">
        <v>27</v>
      </c>
      <c r="B138" t="str">
        <f t="shared" ref="B138" si="270">IF($G138="","Hide","Show")</f>
        <v>Hide</v>
      </c>
      <c r="E138" s="1"/>
      <c r="F138" t="s">
        <v>28</v>
      </c>
      <c r="G138" t="s">
        <v>28</v>
      </c>
      <c r="H138" t="s">
        <v>28</v>
      </c>
      <c r="I138" s="5" t="s">
        <v>28</v>
      </c>
      <c r="J138" s="5" t="s">
        <v>28</v>
      </c>
      <c r="K138" s="5" t="s">
        <v>71</v>
      </c>
      <c r="L138">
        <f t="shared" ref="L138" si="271">IFERROR(IF(K138*J138=0,"0",K138*J138),0)</f>
        <v>0</v>
      </c>
      <c r="M138" s="5" t="s">
        <v>28</v>
      </c>
      <c r="N138" t="e">
        <f t="shared" ref="N138" si="272">IF(M138*J138=0,"0",M138*J138)</f>
        <v>#VALUE!</v>
      </c>
      <c r="O138" s="5" t="s">
        <v>28</v>
      </c>
      <c r="P138" s="5" t="s">
        <v>28</v>
      </c>
      <c r="Q138" s="5" t="e">
        <f t="shared" ref="Q138" si="273">P138*O138</f>
        <v>#VALUE!</v>
      </c>
      <c r="R138" s="6" t="str">
        <f t="shared" ref="R138" si="274">IFERROR(Q138+N138+L138,"")</f>
        <v/>
      </c>
    </row>
    <row r="139" spans="1:18" hidden="1" x14ac:dyDescent="0.25">
      <c r="A139" t="s">
        <v>27</v>
      </c>
      <c r="B139" t="str">
        <f t="shared" ref="B139" si="275">IF($G138="","Hide","Show")</f>
        <v>Hide</v>
      </c>
      <c r="H139" t="s">
        <v>28</v>
      </c>
    </row>
    <row r="140" spans="1:18" hidden="1" x14ac:dyDescent="0.25">
      <c r="A140" t="s">
        <v>27</v>
      </c>
      <c r="B140" t="str">
        <f t="shared" ref="B140" si="276">IF($G138="","Hide","Show")</f>
        <v>Hide</v>
      </c>
    </row>
    <row r="141" spans="1:18" ht="17.25" hidden="1" x14ac:dyDescent="0.3">
      <c r="A141" t="s">
        <v>27</v>
      </c>
      <c r="B141" t="str">
        <f t="shared" ref="B141" si="277">IF($G142="","Hide","Show")</f>
        <v>Hide</v>
      </c>
      <c r="C141" t="str">
        <f>"""Ceres4"",""TCP-LIVE"",""14012281"",""1"",""NUTRITION"""</f>
        <v>"Ceres4","TCP-LIVE","14012281","1","NUTRITION"</v>
      </c>
      <c r="D141" t="s">
        <v>48</v>
      </c>
      <c r="E141" s="9" t="s">
        <v>10</v>
      </c>
      <c r="F141" s="2"/>
      <c r="G141" s="8" t="s">
        <v>88</v>
      </c>
    </row>
    <row r="142" spans="1:18" hidden="1" x14ac:dyDescent="0.25">
      <c r="A142" t="s">
        <v>27</v>
      </c>
      <c r="B142" t="str">
        <f t="shared" ref="B142" si="278">IF($G142="","Hide","Show")</f>
        <v>Hide</v>
      </c>
      <c r="E142" s="1"/>
      <c r="F142" t="s">
        <v>28</v>
      </c>
      <c r="G142" t="s">
        <v>28</v>
      </c>
      <c r="H142" t="s">
        <v>28</v>
      </c>
      <c r="I142" s="5" t="s">
        <v>28</v>
      </c>
      <c r="J142" s="5" t="s">
        <v>28</v>
      </c>
      <c r="K142" s="5" t="s">
        <v>71</v>
      </c>
      <c r="L142">
        <f t="shared" ref="L142" si="279">IFERROR(IF(K142*J142=0,"0",K142*J142),0)</f>
        <v>0</v>
      </c>
      <c r="M142" s="5" t="s">
        <v>28</v>
      </c>
      <c r="N142" t="e">
        <f t="shared" ref="N142" si="280">IF(M142*J142=0,"0",M142*J142)</f>
        <v>#VALUE!</v>
      </c>
      <c r="O142" s="5" t="s">
        <v>28</v>
      </c>
      <c r="P142" s="5" t="s">
        <v>28</v>
      </c>
      <c r="Q142" s="5" t="e">
        <f t="shared" ref="Q142" si="281">P142*O142</f>
        <v>#VALUE!</v>
      </c>
      <c r="R142" s="6" t="str">
        <f t="shared" ref="R142" si="282">IFERROR(Q142+N142+L142,"")</f>
        <v/>
      </c>
    </row>
    <row r="143" spans="1:18" hidden="1" x14ac:dyDescent="0.25">
      <c r="A143" t="s">
        <v>27</v>
      </c>
      <c r="B143" t="str">
        <f t="shared" ref="B143" si="283">IF($G142="","Hide","Show")</f>
        <v>Hide</v>
      </c>
      <c r="H143" t="s">
        <v>28</v>
      </c>
    </row>
    <row r="144" spans="1:18" hidden="1" x14ac:dyDescent="0.25">
      <c r="A144" t="s">
        <v>27</v>
      </c>
      <c r="B144" t="str">
        <f t="shared" ref="B144" si="284">IF($G142="","Hide","Show")</f>
        <v>Hide</v>
      </c>
    </row>
    <row r="145" spans="1:18" ht="17.25" hidden="1" x14ac:dyDescent="0.3">
      <c r="A145" t="s">
        <v>27</v>
      </c>
      <c r="B145" t="str">
        <f t="shared" ref="B145" si="285">IF($G146="","Hide","Show")</f>
        <v>Hide</v>
      </c>
      <c r="C145" t="str">
        <f>"""Ceres4"",""TCP-LIVE"",""14012281"",""1"",""OTC"""</f>
        <v>"Ceres4","TCP-LIVE","14012281","1","OTC"</v>
      </c>
      <c r="D145" t="s">
        <v>49</v>
      </c>
      <c r="E145" s="9" t="s">
        <v>10</v>
      </c>
      <c r="F145" s="2"/>
      <c r="G145" s="8" t="s">
        <v>89</v>
      </c>
    </row>
    <row r="146" spans="1:18" hidden="1" x14ac:dyDescent="0.25">
      <c r="A146" t="s">
        <v>27</v>
      </c>
      <c r="B146" t="str">
        <f t="shared" ref="B146" si="286">IF($G146="","Hide","Show")</f>
        <v>Hide</v>
      </c>
      <c r="E146" s="1"/>
      <c r="F146" t="s">
        <v>28</v>
      </c>
      <c r="G146" t="s">
        <v>28</v>
      </c>
      <c r="H146" t="s">
        <v>28</v>
      </c>
      <c r="I146" s="5" t="s">
        <v>28</v>
      </c>
      <c r="J146" s="5" t="s">
        <v>28</v>
      </c>
      <c r="K146" s="5" t="s">
        <v>71</v>
      </c>
      <c r="L146">
        <f t="shared" ref="L146" si="287">IFERROR(IF(K146*J146=0,"0",K146*J146),0)</f>
        <v>0</v>
      </c>
      <c r="M146" s="5" t="s">
        <v>28</v>
      </c>
      <c r="N146" t="e">
        <f t="shared" ref="N146" si="288">IF(M146*J146=0,"0",M146*J146)</f>
        <v>#VALUE!</v>
      </c>
      <c r="O146" s="5" t="s">
        <v>28</v>
      </c>
      <c r="P146" s="5" t="s">
        <v>28</v>
      </c>
      <c r="Q146" s="5" t="e">
        <f t="shared" ref="Q146" si="289">P146*O146</f>
        <v>#VALUE!</v>
      </c>
      <c r="R146" s="6" t="str">
        <f t="shared" ref="R146" si="290">IFERROR(Q146+N146+L146,"")</f>
        <v/>
      </c>
    </row>
    <row r="147" spans="1:18" hidden="1" x14ac:dyDescent="0.25">
      <c r="A147" t="s">
        <v>27</v>
      </c>
      <c r="B147" t="str">
        <f t="shared" ref="B147" si="291">IF($G146="","Hide","Show")</f>
        <v>Hide</v>
      </c>
      <c r="H147" t="s">
        <v>28</v>
      </c>
    </row>
    <row r="148" spans="1:18" hidden="1" x14ac:dyDescent="0.25">
      <c r="A148" t="s">
        <v>27</v>
      </c>
      <c r="B148" t="str">
        <f t="shared" ref="B148" si="292">IF($G146="","Hide","Show")</f>
        <v>Hide</v>
      </c>
    </row>
    <row r="149" spans="1:18" ht="17.25" x14ac:dyDescent="0.3">
      <c r="A149" t="s">
        <v>27</v>
      </c>
      <c r="B149" t="str">
        <f t="shared" ref="B149" si="293">IF($G150="","Hide","Show")</f>
        <v>Show</v>
      </c>
      <c r="C149" t="str">
        <f>"""Ceres4"",""TCP-LIVE"",""14012281"",""1"",""PASTA"""</f>
        <v>"Ceres4","TCP-LIVE","14012281","1","PASTA"</v>
      </c>
      <c r="D149" t="s">
        <v>50</v>
      </c>
      <c r="E149" s="9" t="s">
        <v>10</v>
      </c>
      <c r="F149" s="2"/>
      <c r="G149" s="8" t="s">
        <v>90</v>
      </c>
    </row>
    <row r="150" spans="1:18" x14ac:dyDescent="0.25">
      <c r="A150" t="s">
        <v>27</v>
      </c>
      <c r="B150" t="str">
        <f t="shared" ref="B150:B154" si="294">IF($G150="","Hide","Show")</f>
        <v>Show</v>
      </c>
      <c r="E150" s="1"/>
      <c r="F150" t="s">
        <v>120</v>
      </c>
      <c r="G150" t="s">
        <v>91</v>
      </c>
      <c r="H150" t="s">
        <v>109</v>
      </c>
      <c r="I150" s="5" t="s">
        <v>69</v>
      </c>
      <c r="J150" s="5">
        <v>9</v>
      </c>
      <c r="K150" s="5">
        <v>0</v>
      </c>
      <c r="L150" t="str">
        <f t="shared" ref="L150" si="295">IFERROR(IF(K150*J150=0,"0",K150*J150),0)</f>
        <v>0</v>
      </c>
      <c r="M150" s="5">
        <v>0</v>
      </c>
      <c r="N150" t="str">
        <f t="shared" ref="N150" si="296">IF(M150*J150=0,"0",M150*J150)</f>
        <v>0</v>
      </c>
      <c r="O150" s="5">
        <v>1.2</v>
      </c>
      <c r="P150" s="5">
        <v>9.99</v>
      </c>
      <c r="Q150" s="5">
        <f t="shared" ref="Q150" si="297">P150*O150</f>
        <v>11.988</v>
      </c>
      <c r="R150" s="6">
        <f t="shared" ref="R150" si="298">IFERROR(Q150+N150+L150,"")</f>
        <v>11.988</v>
      </c>
    </row>
    <row r="151" spans="1:18" x14ac:dyDescent="0.25">
      <c r="A151" t="s">
        <v>27</v>
      </c>
      <c r="B151" t="str">
        <f t="shared" ref="B151" si="299">IF($G150="","Hide","Show")</f>
        <v>Show</v>
      </c>
      <c r="H151" t="s">
        <v>110</v>
      </c>
    </row>
    <row r="152" spans="1:18" x14ac:dyDescent="0.25">
      <c r="A152" t="s">
        <v>27</v>
      </c>
      <c r="B152" t="str">
        <f t="shared" si="294"/>
        <v>Show</v>
      </c>
      <c r="E152" s="1"/>
      <c r="F152" t="str">
        <f>"""Ceres4"",""TCP-LIVE"",""27"",""1"",""P650004"""</f>
        <v>"Ceres4","TCP-LIVE","27","1","P650004"</v>
      </c>
      <c r="G152" t="s">
        <v>92</v>
      </c>
      <c r="H152" t="s">
        <v>111</v>
      </c>
      <c r="I152" s="5" t="s">
        <v>69</v>
      </c>
      <c r="J152" s="5">
        <v>21</v>
      </c>
      <c r="K152" s="5">
        <v>0</v>
      </c>
      <c r="L152" t="str">
        <f t="shared" ref="L152" si="300">IFERROR(IF(K152*J152=0,"0",K152*J152),0)</f>
        <v>0</v>
      </c>
      <c r="M152" s="5">
        <v>0</v>
      </c>
      <c r="N152" t="str">
        <f t="shared" ref="N152" si="301">IF(M152*J152=0,"0",M152*J152)</f>
        <v>0</v>
      </c>
      <c r="O152" s="5">
        <v>1.2</v>
      </c>
      <c r="P152" s="5">
        <v>13.49</v>
      </c>
      <c r="Q152" s="5">
        <f t="shared" ref="Q152" si="302">P152*O152</f>
        <v>16.187999999999999</v>
      </c>
      <c r="R152" s="6">
        <f t="shared" ref="R152" si="303">IFERROR(Q152+N152+L152,"")</f>
        <v>16.187999999999999</v>
      </c>
    </row>
    <row r="153" spans="1:18" x14ac:dyDescent="0.25">
      <c r="A153" t="s">
        <v>27</v>
      </c>
      <c r="B153" t="str">
        <f t="shared" ref="B153" si="304">IF($G152="","Hide","Show")</f>
        <v>Show</v>
      </c>
      <c r="H153" t="s">
        <v>112</v>
      </c>
    </row>
    <row r="154" spans="1:18" x14ac:dyDescent="0.25">
      <c r="A154" t="s">
        <v>27</v>
      </c>
      <c r="B154" t="str">
        <f t="shared" si="294"/>
        <v>Show</v>
      </c>
      <c r="E154" s="1"/>
      <c r="F154" t="str">
        <f>"""Ceres4"",""TCP-LIVE"",""27"",""1"",""P669999"""</f>
        <v>"Ceres4","TCP-LIVE","27","1","P669999"</v>
      </c>
      <c r="G154" t="s">
        <v>93</v>
      </c>
      <c r="H154" t="s">
        <v>113</v>
      </c>
      <c r="I154" s="5" t="s">
        <v>69</v>
      </c>
      <c r="J154" s="5">
        <v>20</v>
      </c>
      <c r="K154" s="5">
        <v>0</v>
      </c>
      <c r="L154" t="str">
        <f t="shared" ref="L154" si="305">IFERROR(IF(K154*J154=0,"0",K154*J154),0)</f>
        <v>0</v>
      </c>
      <c r="M154" s="5">
        <v>0</v>
      </c>
      <c r="N154" t="str">
        <f t="shared" ref="N154" si="306">IF(M154*J154=0,"0",M154*J154)</f>
        <v>0</v>
      </c>
      <c r="O154" s="5">
        <v>1.2</v>
      </c>
      <c r="P154" s="5">
        <v>13.49</v>
      </c>
      <c r="Q154" s="5">
        <f t="shared" ref="Q154" si="307">P154*O154</f>
        <v>16.187999999999999</v>
      </c>
      <c r="R154" s="6">
        <f t="shared" ref="R154" si="308">IFERROR(Q154+N154+L154,"")</f>
        <v>16.187999999999999</v>
      </c>
    </row>
    <row r="155" spans="1:18" x14ac:dyDescent="0.25">
      <c r="A155" t="s">
        <v>27</v>
      </c>
      <c r="B155" t="str">
        <f t="shared" ref="B155" si="309">IF($G154="","Hide","Show")</f>
        <v>Show</v>
      </c>
      <c r="H155" t="s">
        <v>114</v>
      </c>
    </row>
    <row r="156" spans="1:18" x14ac:dyDescent="0.25">
      <c r="A156" t="s">
        <v>27</v>
      </c>
      <c r="B156" t="str">
        <f t="shared" ref="B156" si="310">IF($G150="","Hide","Show")</f>
        <v>Show</v>
      </c>
    </row>
    <row r="157" spans="1:18" ht="17.25" hidden="1" x14ac:dyDescent="0.3">
      <c r="A157" t="s">
        <v>27</v>
      </c>
      <c r="B157" t="str">
        <f t="shared" ref="B157" si="311">IF($G158="","Hide","Show")</f>
        <v>Hide</v>
      </c>
      <c r="C157" t="str">
        <f>"""Ceres4"",""TCP-LIVE"",""14012281"",""1"",""PASTRY"""</f>
        <v>"Ceres4","TCP-LIVE","14012281","1","PASTRY"</v>
      </c>
      <c r="D157" t="s">
        <v>51</v>
      </c>
      <c r="E157" s="9" t="s">
        <v>10</v>
      </c>
      <c r="F157" s="2"/>
      <c r="G157" s="8" t="s">
        <v>94</v>
      </c>
    </row>
    <row r="158" spans="1:18" hidden="1" x14ac:dyDescent="0.25">
      <c r="A158" t="s">
        <v>27</v>
      </c>
      <c r="B158" t="str">
        <f t="shared" ref="B158" si="312">IF($G158="","Hide","Show")</f>
        <v>Hide</v>
      </c>
      <c r="E158" s="1"/>
      <c r="F158" t="s">
        <v>28</v>
      </c>
      <c r="G158" t="s">
        <v>28</v>
      </c>
      <c r="H158" t="s">
        <v>28</v>
      </c>
      <c r="I158" s="5" t="s">
        <v>28</v>
      </c>
      <c r="J158" s="5" t="s">
        <v>28</v>
      </c>
      <c r="K158" s="5" t="s">
        <v>71</v>
      </c>
      <c r="L158">
        <f t="shared" ref="L158" si="313">IFERROR(IF(K158*J158=0,"0",K158*J158),0)</f>
        <v>0</v>
      </c>
      <c r="M158" s="5" t="s">
        <v>28</v>
      </c>
      <c r="N158" t="e">
        <f t="shared" ref="N158" si="314">IF(M158*J158=0,"0",M158*J158)</f>
        <v>#VALUE!</v>
      </c>
      <c r="O158" s="5" t="s">
        <v>28</v>
      </c>
      <c r="P158" s="5" t="s">
        <v>28</v>
      </c>
      <c r="Q158" s="5" t="e">
        <f t="shared" ref="Q158" si="315">P158*O158</f>
        <v>#VALUE!</v>
      </c>
      <c r="R158" s="6" t="str">
        <f t="shared" ref="R158" si="316">IFERROR(Q158+N158+L158,"")</f>
        <v/>
      </c>
    </row>
    <row r="159" spans="1:18" hidden="1" x14ac:dyDescent="0.25">
      <c r="A159" t="s">
        <v>27</v>
      </c>
      <c r="B159" t="str">
        <f t="shared" ref="B159" si="317">IF($G158="","Hide","Show")</f>
        <v>Hide</v>
      </c>
      <c r="H159" t="s">
        <v>28</v>
      </c>
    </row>
    <row r="160" spans="1:18" hidden="1" x14ac:dyDescent="0.25">
      <c r="A160" t="s">
        <v>27</v>
      </c>
      <c r="B160" t="str">
        <f t="shared" ref="B160" si="318">IF($G158="","Hide","Show")</f>
        <v>Hide</v>
      </c>
    </row>
    <row r="161" spans="1:18" ht="17.25" hidden="1" x14ac:dyDescent="0.3">
      <c r="A161" t="s">
        <v>27</v>
      </c>
      <c r="B161" t="str">
        <f t="shared" ref="B161" si="319">IF($G162="","Hide","Show")</f>
        <v>Hide</v>
      </c>
      <c r="C161" t="str">
        <f>"""Ceres4"",""TCP-LIVE"",""14012281"",""1"",""PER PAP"""</f>
        <v>"Ceres4","TCP-LIVE","14012281","1","PER PAP"</v>
      </c>
      <c r="D161" t="s">
        <v>52</v>
      </c>
      <c r="E161" s="9" t="s">
        <v>10</v>
      </c>
      <c r="F161" s="2"/>
      <c r="G161" s="8" t="s">
        <v>95</v>
      </c>
    </row>
    <row r="162" spans="1:18" hidden="1" x14ac:dyDescent="0.25">
      <c r="A162" t="s">
        <v>27</v>
      </c>
      <c r="B162" t="str">
        <f t="shared" ref="B162" si="320">IF($G162="","Hide","Show")</f>
        <v>Hide</v>
      </c>
      <c r="E162" s="1"/>
      <c r="F162" t="s">
        <v>28</v>
      </c>
      <c r="G162" t="s">
        <v>28</v>
      </c>
      <c r="H162" t="s">
        <v>28</v>
      </c>
      <c r="I162" s="5" t="s">
        <v>28</v>
      </c>
      <c r="J162" s="5" t="s">
        <v>28</v>
      </c>
      <c r="K162" s="5" t="s">
        <v>71</v>
      </c>
      <c r="L162">
        <f t="shared" ref="L162" si="321">IFERROR(IF(K162*J162=0,"0",K162*J162),0)</f>
        <v>0</v>
      </c>
      <c r="M162" s="5" t="s">
        <v>28</v>
      </c>
      <c r="N162" t="e">
        <f t="shared" ref="N162" si="322">IF(M162*J162=0,"0",M162*J162)</f>
        <v>#VALUE!</v>
      </c>
      <c r="O162" s="5" t="s">
        <v>28</v>
      </c>
      <c r="P162" s="5" t="s">
        <v>28</v>
      </c>
      <c r="Q162" s="5" t="e">
        <f t="shared" ref="Q162" si="323">P162*O162</f>
        <v>#VALUE!</v>
      </c>
      <c r="R162" s="6" t="str">
        <f t="shared" ref="R162" si="324">IFERROR(Q162+N162+L162,"")</f>
        <v/>
      </c>
    </row>
    <row r="163" spans="1:18" hidden="1" x14ac:dyDescent="0.25">
      <c r="A163" t="s">
        <v>27</v>
      </c>
      <c r="B163" t="str">
        <f t="shared" ref="B163" si="325">IF($G162="","Hide","Show")</f>
        <v>Hide</v>
      </c>
      <c r="H163" t="s">
        <v>28</v>
      </c>
    </row>
    <row r="164" spans="1:18" hidden="1" x14ac:dyDescent="0.25">
      <c r="A164" t="s">
        <v>27</v>
      </c>
      <c r="B164" t="str">
        <f t="shared" ref="B164" si="326">IF($G162="","Hide","Show")</f>
        <v>Hide</v>
      </c>
    </row>
    <row r="165" spans="1:18" ht="17.25" x14ac:dyDescent="0.3">
      <c r="A165" t="s">
        <v>27</v>
      </c>
      <c r="B165" t="str">
        <f t="shared" ref="B165" si="327">IF($G166="","Hide","Show")</f>
        <v>Show</v>
      </c>
      <c r="C165" t="str">
        <f>"""Ceres4"",""TCP-LIVE"",""14012281"",""1"",""PERSONAL"""</f>
        <v>"Ceres4","TCP-LIVE","14012281","1","PERSONAL"</v>
      </c>
      <c r="D165" t="s">
        <v>53</v>
      </c>
      <c r="E165" s="9" t="s">
        <v>10</v>
      </c>
      <c r="F165" s="2"/>
      <c r="G165" s="8" t="s">
        <v>96</v>
      </c>
    </row>
    <row r="166" spans="1:18" x14ac:dyDescent="0.25">
      <c r="A166" t="s">
        <v>27</v>
      </c>
      <c r="B166" t="str">
        <f t="shared" ref="B166:B168" si="328">IF($G166="","Hide","Show")</f>
        <v>Show</v>
      </c>
      <c r="E166" s="1"/>
      <c r="F166" t="s">
        <v>119</v>
      </c>
      <c r="G166" t="s">
        <v>97</v>
      </c>
      <c r="H166" t="s">
        <v>115</v>
      </c>
      <c r="I166" s="5" t="s">
        <v>69</v>
      </c>
      <c r="J166" s="5">
        <v>12</v>
      </c>
      <c r="K166" s="5">
        <v>0</v>
      </c>
      <c r="L166" t="str">
        <f t="shared" ref="L166" si="329">IFERROR(IF(K166*J166=0,"0",K166*J166),0)</f>
        <v>0</v>
      </c>
      <c r="M166" s="5">
        <v>0</v>
      </c>
      <c r="N166" t="str">
        <f t="shared" ref="N166" si="330">IF(M166*J166=0,"0",M166*J166)</f>
        <v>0</v>
      </c>
      <c r="O166" s="5">
        <v>1.2</v>
      </c>
      <c r="P166" s="5">
        <v>9.0500000000000007</v>
      </c>
      <c r="Q166" s="5">
        <f t="shared" ref="Q166" si="331">P166*O166</f>
        <v>10.860000000000001</v>
      </c>
      <c r="R166" s="6">
        <f t="shared" ref="R166" si="332">IFERROR(Q166+N166+L166,"")</f>
        <v>10.860000000000001</v>
      </c>
    </row>
    <row r="167" spans="1:18" x14ac:dyDescent="0.25">
      <c r="A167" t="s">
        <v>27</v>
      </c>
      <c r="B167" t="str">
        <f t="shared" ref="B167" si="333">IF($G166="","Hide","Show")</f>
        <v>Show</v>
      </c>
      <c r="H167" t="s">
        <v>116</v>
      </c>
    </row>
    <row r="168" spans="1:18" x14ac:dyDescent="0.25">
      <c r="A168" t="s">
        <v>27</v>
      </c>
      <c r="B168" t="str">
        <f t="shared" si="328"/>
        <v>Show</v>
      </c>
      <c r="E168" s="1"/>
      <c r="F168" t="str">
        <f>"""Ceres4"",""TCP-LIVE"",""27"",""1"",""P997001"""</f>
        <v>"Ceres4","TCP-LIVE","27","1","P997001"</v>
      </c>
      <c r="G168" t="s">
        <v>98</v>
      </c>
      <c r="H168" t="s">
        <v>117</v>
      </c>
      <c r="I168" s="5" t="s">
        <v>69</v>
      </c>
      <c r="J168" s="5">
        <v>9</v>
      </c>
      <c r="K168" s="5">
        <v>0</v>
      </c>
      <c r="L168" t="str">
        <f t="shared" ref="L168" si="334">IFERROR(IF(K168*J168=0,"0",K168*J168),0)</f>
        <v>0</v>
      </c>
      <c r="M168" s="5">
        <v>0</v>
      </c>
      <c r="N168" t="str">
        <f t="shared" ref="N168" si="335">IF(M168*J168=0,"0",M168*J168)</f>
        <v>0</v>
      </c>
      <c r="O168" s="5">
        <v>1.1499999999999999</v>
      </c>
      <c r="P168" s="5">
        <v>28</v>
      </c>
      <c r="Q168" s="5">
        <f t="shared" ref="Q168" si="336">P168*O168</f>
        <v>32.199999999999996</v>
      </c>
      <c r="R168" s="6">
        <f t="shared" ref="R168" si="337">IFERROR(Q168+N168+L168,"")</f>
        <v>32.199999999999996</v>
      </c>
    </row>
    <row r="169" spans="1:18" x14ac:dyDescent="0.25">
      <c r="A169" t="s">
        <v>27</v>
      </c>
      <c r="B169" t="str">
        <f t="shared" ref="B169" si="338">IF($G168="","Hide","Show")</f>
        <v>Show</v>
      </c>
      <c r="H169" t="s">
        <v>118</v>
      </c>
    </row>
    <row r="170" spans="1:18" x14ac:dyDescent="0.25">
      <c r="A170" t="s">
        <v>27</v>
      </c>
      <c r="B170" t="str">
        <f t="shared" ref="B170" si="339">IF($G166="","Hide","Show")</f>
        <v>Show</v>
      </c>
    </row>
    <row r="171" spans="1:18" ht="17.25" hidden="1" x14ac:dyDescent="0.3">
      <c r="A171" t="s">
        <v>27</v>
      </c>
      <c r="B171" t="str">
        <f t="shared" ref="B171" si="340">IF($G172="","Hide","Show")</f>
        <v>Hide</v>
      </c>
      <c r="C171" t="str">
        <f>"""Ceres4"",""TCP-LIVE"",""14012281"",""1"",""PET"""</f>
        <v>"Ceres4","TCP-LIVE","14012281","1","PET"</v>
      </c>
      <c r="D171" t="s">
        <v>54</v>
      </c>
      <c r="E171" s="9" t="s">
        <v>10</v>
      </c>
      <c r="F171" s="2"/>
      <c r="G171" s="8" t="s">
        <v>99</v>
      </c>
    </row>
    <row r="172" spans="1:18" hidden="1" x14ac:dyDescent="0.25">
      <c r="A172" t="s">
        <v>27</v>
      </c>
      <c r="B172" t="str">
        <f t="shared" ref="B172" si="341">IF($G172="","Hide","Show")</f>
        <v>Hide</v>
      </c>
      <c r="E172" s="1"/>
      <c r="F172" t="s">
        <v>28</v>
      </c>
      <c r="G172" t="s">
        <v>28</v>
      </c>
      <c r="H172" t="s">
        <v>28</v>
      </c>
      <c r="I172" s="5" t="s">
        <v>28</v>
      </c>
      <c r="J172" s="5" t="s">
        <v>28</v>
      </c>
      <c r="K172" s="5" t="s">
        <v>71</v>
      </c>
      <c r="L172">
        <f t="shared" ref="L172" si="342">IFERROR(IF(K172*J172=0,"0",K172*J172),0)</f>
        <v>0</v>
      </c>
      <c r="M172" s="5" t="s">
        <v>28</v>
      </c>
      <c r="N172" t="e">
        <f t="shared" ref="N172" si="343">IF(M172*J172=0,"0",M172*J172)</f>
        <v>#VALUE!</v>
      </c>
      <c r="O172" s="5" t="s">
        <v>28</v>
      </c>
      <c r="P172" s="5" t="s">
        <v>28</v>
      </c>
      <c r="Q172" s="5" t="e">
        <f t="shared" ref="Q172" si="344">P172*O172</f>
        <v>#VALUE!</v>
      </c>
      <c r="R172" s="6" t="str">
        <f t="shared" ref="R172" si="345">IFERROR(Q172+N172+L172,"")</f>
        <v/>
      </c>
    </row>
    <row r="173" spans="1:18" hidden="1" x14ac:dyDescent="0.25">
      <c r="A173" t="s">
        <v>27</v>
      </c>
      <c r="B173" t="str">
        <f t="shared" ref="B173" si="346">IF($G172="","Hide","Show")</f>
        <v>Hide</v>
      </c>
      <c r="H173" t="s">
        <v>28</v>
      </c>
    </row>
    <row r="174" spans="1:18" hidden="1" x14ac:dyDescent="0.25">
      <c r="A174" t="s">
        <v>27</v>
      </c>
      <c r="B174" t="str">
        <f t="shared" ref="B174" si="347">IF($G172="","Hide","Show")</f>
        <v>Hide</v>
      </c>
    </row>
    <row r="175" spans="1:18" ht="17.25" hidden="1" x14ac:dyDescent="0.3">
      <c r="A175" t="s">
        <v>27</v>
      </c>
      <c r="B175" t="str">
        <f t="shared" ref="B175" si="348">IF($G176="","Hide","Show")</f>
        <v>Hide</v>
      </c>
      <c r="C175" t="str">
        <f>"""Ceres4"",""TCP-LIVE"",""14012281"",""1"",""PRODUCE"""</f>
        <v>"Ceres4","TCP-LIVE","14012281","1","PRODUCE"</v>
      </c>
      <c r="D175" t="s">
        <v>55</v>
      </c>
      <c r="E175" s="9" t="s">
        <v>10</v>
      </c>
      <c r="F175" s="2"/>
      <c r="G175" s="8" t="s">
        <v>100</v>
      </c>
    </row>
    <row r="176" spans="1:18" hidden="1" x14ac:dyDescent="0.25">
      <c r="A176" t="s">
        <v>27</v>
      </c>
      <c r="B176" t="str">
        <f t="shared" ref="B176" si="349">IF($G176="","Hide","Show")</f>
        <v>Hide</v>
      </c>
      <c r="E176" s="1"/>
      <c r="F176" t="s">
        <v>28</v>
      </c>
      <c r="G176" t="s">
        <v>28</v>
      </c>
      <c r="H176" t="s">
        <v>28</v>
      </c>
      <c r="I176" s="5" t="s">
        <v>28</v>
      </c>
      <c r="J176" s="5" t="s">
        <v>28</v>
      </c>
      <c r="K176" s="5" t="s">
        <v>71</v>
      </c>
      <c r="L176">
        <f t="shared" ref="L176" si="350">IFERROR(IF(K176*J176=0,"0",K176*J176),0)</f>
        <v>0</v>
      </c>
      <c r="M176" s="5" t="s">
        <v>28</v>
      </c>
      <c r="N176" t="e">
        <f t="shared" ref="N176" si="351">IF(M176*J176=0,"0",M176*J176)</f>
        <v>#VALUE!</v>
      </c>
      <c r="O176" s="5" t="s">
        <v>28</v>
      </c>
      <c r="P176" s="5" t="s">
        <v>28</v>
      </c>
      <c r="Q176" s="5" t="e">
        <f t="shared" ref="Q176" si="352">P176*O176</f>
        <v>#VALUE!</v>
      </c>
      <c r="R176" s="6" t="str">
        <f t="shared" ref="R176" si="353">IFERROR(Q176+N176+L176,"")</f>
        <v/>
      </c>
    </row>
    <row r="177" spans="1:18" hidden="1" x14ac:dyDescent="0.25">
      <c r="A177" t="s">
        <v>27</v>
      </c>
      <c r="B177" t="str">
        <f t="shared" ref="B177" si="354">IF($G176="","Hide","Show")</f>
        <v>Hide</v>
      </c>
      <c r="H177" t="s">
        <v>28</v>
      </c>
    </row>
    <row r="178" spans="1:18" hidden="1" x14ac:dyDescent="0.25">
      <c r="A178" t="s">
        <v>27</v>
      </c>
      <c r="B178" t="str">
        <f t="shared" ref="B178" si="355">IF($G176="","Hide","Show")</f>
        <v>Hide</v>
      </c>
    </row>
    <row r="179" spans="1:18" ht="17.25" x14ac:dyDescent="0.3">
      <c r="A179" t="s">
        <v>27</v>
      </c>
      <c r="B179" t="e">
        <f>IF(#REF!="","Hide","Show")</f>
        <v>#REF!</v>
      </c>
      <c r="C179" t="str">
        <f>"""Ceres4"",""TCP-LIVE"",""14012281"",""1"",""PRO-MEAT"""</f>
        <v>"Ceres4","TCP-LIVE","14012281","1","PRO-MEAT"</v>
      </c>
      <c r="D179" t="s">
        <v>56</v>
      </c>
      <c r="E179" s="9" t="s">
        <v>10</v>
      </c>
      <c r="F179" s="2"/>
      <c r="G179" s="8" t="s">
        <v>101</v>
      </c>
    </row>
    <row r="180" spans="1:18" x14ac:dyDescent="0.25">
      <c r="A180" t="s">
        <v>27</v>
      </c>
      <c r="B180" t="str">
        <f t="shared" ref="B180:B226" si="356">IF($G180="","Hide","Show")</f>
        <v>Show</v>
      </c>
      <c r="E180" s="1"/>
      <c r="F180" t="str">
        <f>"""Ceres4"",""TCP-LIVE"",""27"",""1"",""400280"""</f>
        <v>"Ceres4","TCP-LIVE","27","1","400280"</v>
      </c>
      <c r="G180" t="str">
        <f>"400280"</f>
        <v>400280</v>
      </c>
      <c r="H180" t="str">
        <f>"Protein - Center Cut Ribs"</f>
        <v>Protein - Center Cut Ribs</v>
      </c>
      <c r="I180" s="5" t="str">
        <f>"CS"</f>
        <v>CS</v>
      </c>
      <c r="J180" s="5">
        <v>30</v>
      </c>
      <c r="K180" s="5">
        <v>0.19</v>
      </c>
      <c r="L180">
        <f t="shared" ref="L180" si="357">IFERROR(IF(K180*J180=0,"0",K180*J180),0)</f>
        <v>5.7</v>
      </c>
      <c r="M180" s="5">
        <v>0</v>
      </c>
      <c r="N180" t="str">
        <f t="shared" ref="N180" si="358">IF(M180*J180=0,"0",M180*J180)</f>
        <v>0</v>
      </c>
      <c r="O180" s="5">
        <v>1</v>
      </c>
      <c r="P180" s="5">
        <v>0</v>
      </c>
      <c r="Q180" s="5">
        <f t="shared" ref="Q180" si="359">P180*O180</f>
        <v>0</v>
      </c>
      <c r="R180" s="6">
        <f t="shared" ref="R180" si="360">IFERROR(Q180+N180+L180,"")</f>
        <v>5.7</v>
      </c>
    </row>
    <row r="181" spans="1:18" x14ac:dyDescent="0.25">
      <c r="A181" t="s">
        <v>27</v>
      </c>
      <c r="B181" t="str">
        <f t="shared" ref="B181" si="361">IF($G180="","Hide","Show")</f>
        <v>Show</v>
      </c>
      <c r="H181" t="str">
        <f>"Bulk 30 lbs"</f>
        <v>Bulk 30 lbs</v>
      </c>
    </row>
    <row r="182" spans="1:18" x14ac:dyDescent="0.25">
      <c r="A182" t="s">
        <v>27</v>
      </c>
      <c r="B182" t="str">
        <f t="shared" si="356"/>
        <v>Show</v>
      </c>
      <c r="E182" s="1"/>
      <c r="F182" t="str">
        <f>"""Ceres4"",""TCP-LIVE"",""27"",""1"",""480081"""</f>
        <v>"Ceres4","TCP-LIVE","27","1","480081"</v>
      </c>
      <c r="G182" t="str">
        <f>"480081"</f>
        <v>480081</v>
      </c>
      <c r="H182" t="str">
        <f>"Protein - Wieners"</f>
        <v>Protein - Wieners</v>
      </c>
      <c r="I182" s="5" t="str">
        <f>"CS"</f>
        <v>CS</v>
      </c>
      <c r="J182" s="5">
        <v>16</v>
      </c>
      <c r="K182" s="5">
        <v>0.19</v>
      </c>
      <c r="L182">
        <f t="shared" ref="L182" si="362">IFERROR(IF(K182*J182=0,"0",K182*J182),0)</f>
        <v>3.04</v>
      </c>
      <c r="M182" s="5">
        <v>0</v>
      </c>
      <c r="N182" t="str">
        <f t="shared" ref="N182" si="363">IF(M182*J182=0,"0",M182*J182)</f>
        <v>0</v>
      </c>
      <c r="O182" s="5">
        <v>1</v>
      </c>
      <c r="P182" s="5">
        <v>0</v>
      </c>
      <c r="Q182" s="5">
        <f t="shared" ref="Q182" si="364">P182*O182</f>
        <v>0</v>
      </c>
      <c r="R182" s="6">
        <f t="shared" ref="R182" si="365">IFERROR(Q182+N182+L182,"")</f>
        <v>3.04</v>
      </c>
    </row>
    <row r="183" spans="1:18" x14ac:dyDescent="0.25">
      <c r="A183" t="s">
        <v>27</v>
      </c>
      <c r="B183" t="str">
        <f t="shared" ref="B183" si="366">IF($G182="","Hide","Show")</f>
        <v>Show</v>
      </c>
      <c r="H183" t="str">
        <f>"8-2 lb"</f>
        <v>8-2 lb</v>
      </c>
    </row>
    <row r="184" spans="1:18" x14ac:dyDescent="0.25">
      <c r="A184" t="s">
        <v>27</v>
      </c>
      <c r="B184" t="str">
        <f t="shared" si="356"/>
        <v>Show</v>
      </c>
      <c r="E184" s="1"/>
      <c r="F184" t="str">
        <f>"""Ceres4"",""TCP-LIVE"",""27"",""1"",""489983"""</f>
        <v>"Ceres4","TCP-LIVE","27","1","489983"</v>
      </c>
      <c r="G184" t="str">
        <f>"489983"</f>
        <v>489983</v>
      </c>
      <c r="H184" t="str">
        <f>"Protein - Assosrted Beef and Chicken"</f>
        <v>Protein - Assosrted Beef and Chicken</v>
      </c>
      <c r="I184" s="5" t="str">
        <f>"LB"</f>
        <v>LB</v>
      </c>
      <c r="J184" s="5">
        <v>1</v>
      </c>
      <c r="K184" s="5">
        <v>0.19</v>
      </c>
      <c r="L184">
        <f t="shared" ref="L184" si="367">IFERROR(IF(K184*J184=0,"0",K184*J184),0)</f>
        <v>0.19</v>
      </c>
      <c r="M184" s="5">
        <v>0</v>
      </c>
      <c r="N184" t="str">
        <f t="shared" ref="N184" si="368">IF(M184*J184=0,"0",M184*J184)</f>
        <v>0</v>
      </c>
      <c r="O184" s="5">
        <v>1</v>
      </c>
      <c r="P184" s="5">
        <v>0</v>
      </c>
      <c r="Q184" s="5">
        <f t="shared" ref="Q184" si="369">P184*O184</f>
        <v>0</v>
      </c>
      <c r="R184" s="6">
        <f t="shared" ref="R184" si="370">IFERROR(Q184+N184+L184,"")</f>
        <v>0.19</v>
      </c>
    </row>
    <row r="185" spans="1:18" x14ac:dyDescent="0.25">
      <c r="A185" t="s">
        <v>27</v>
      </c>
      <c r="B185" t="str">
        <f t="shared" ref="B185" si="371">IF($G184="","Hide","Show")</f>
        <v>Show</v>
      </c>
      <c r="H185" t="str">
        <f>"Sold by the pound"</f>
        <v>Sold by the pound</v>
      </c>
    </row>
    <row r="186" spans="1:18" x14ac:dyDescent="0.25">
      <c r="A186" t="s">
        <v>27</v>
      </c>
      <c r="B186" t="str">
        <f t="shared" si="356"/>
        <v>Show</v>
      </c>
      <c r="E186" s="1"/>
      <c r="F186" t="str">
        <f>"""Ceres4"",""TCP-LIVE"",""27"",""1"",""489988"""</f>
        <v>"Ceres4","TCP-LIVE","27","1","489988"</v>
      </c>
      <c r="G186" t="str">
        <f>"489988"</f>
        <v>489988</v>
      </c>
      <c r="H186" t="str">
        <f>"Protein - Beef sliced thin pieces"</f>
        <v>Protein - Beef sliced thin pieces</v>
      </c>
      <c r="I186" s="5" t="str">
        <f>"CS"</f>
        <v>CS</v>
      </c>
      <c r="J186" s="5">
        <v>10</v>
      </c>
      <c r="K186" s="5">
        <v>0.19</v>
      </c>
      <c r="L186">
        <f t="shared" ref="L186" si="372">IFERROR(IF(K186*J186=0,"0",K186*J186),0)</f>
        <v>1.9</v>
      </c>
      <c r="M186" s="5">
        <v>0</v>
      </c>
      <c r="N186" t="str">
        <f t="shared" ref="N186" si="373">IF(M186*J186=0,"0",M186*J186)</f>
        <v>0</v>
      </c>
      <c r="O186" s="5">
        <v>1</v>
      </c>
      <c r="P186" s="5">
        <v>0</v>
      </c>
      <c r="Q186" s="5">
        <f t="shared" ref="Q186" si="374">P186*O186</f>
        <v>0</v>
      </c>
      <c r="R186" s="6">
        <f t="shared" ref="R186" si="375">IFERROR(Q186+N186+L186,"")</f>
        <v>1.9</v>
      </c>
    </row>
    <row r="187" spans="1:18" x14ac:dyDescent="0.25">
      <c r="A187" t="s">
        <v>27</v>
      </c>
      <c r="B187" t="str">
        <f t="shared" ref="B187" si="376">IF($G186="","Hide","Show")</f>
        <v>Show</v>
      </c>
      <c r="H187" t="str">
        <f>"10 lbs"</f>
        <v>10 lbs</v>
      </c>
    </row>
    <row r="188" spans="1:18" x14ac:dyDescent="0.25">
      <c r="A188" t="s">
        <v>27</v>
      </c>
      <c r="B188" t="str">
        <f t="shared" si="356"/>
        <v>Show</v>
      </c>
      <c r="E188" s="1"/>
      <c r="F188" t="str">
        <f>"""Ceres4"",""TCP-LIVE"",""27"",""1"",""P400003"""</f>
        <v>"Ceres4","TCP-LIVE","27","1","P400003"</v>
      </c>
      <c r="G188" t="str">
        <f>"P400003"</f>
        <v>P400003</v>
      </c>
      <c r="H188" t="str">
        <f>"Protein - Ground Beef"</f>
        <v>Protein - Ground Beef</v>
      </c>
      <c r="I188" s="5" t="str">
        <f>"EA"</f>
        <v>EA</v>
      </c>
      <c r="J188" s="5">
        <v>5</v>
      </c>
      <c r="K188" s="5">
        <v>0</v>
      </c>
      <c r="L188" t="str">
        <f t="shared" ref="L188" si="377">IFERROR(IF(K188*J188=0,"0",K188*J188),0)</f>
        <v>0</v>
      </c>
      <c r="M188" s="5">
        <v>0</v>
      </c>
      <c r="N188" t="str">
        <f t="shared" ref="N188" si="378">IF(M188*J188=0,"0",M188*J188)</f>
        <v>0</v>
      </c>
      <c r="O188" s="5">
        <v>1.1000000000000001</v>
      </c>
      <c r="P188" s="5">
        <v>11.956250000000001</v>
      </c>
      <c r="Q188" s="5">
        <f t="shared" ref="Q188" si="379">P188*O188</f>
        <v>13.151875000000002</v>
      </c>
      <c r="R188" s="6">
        <f t="shared" ref="R188" si="380">IFERROR(Q188+N188+L188,"")</f>
        <v>13.151875000000002</v>
      </c>
    </row>
    <row r="189" spans="1:18" x14ac:dyDescent="0.25">
      <c r="A189" t="s">
        <v>27</v>
      </c>
      <c r="B189" t="str">
        <f t="shared" ref="B189" si="381">IF($G188="","Hide","Show")</f>
        <v>Show</v>
      </c>
      <c r="H189" t="str">
        <f>"1-5 lb "</f>
        <v xml:space="preserve">1-5 lb </v>
      </c>
    </row>
    <row r="190" spans="1:18" x14ac:dyDescent="0.25">
      <c r="A190" t="s">
        <v>27</v>
      </c>
      <c r="B190" t="str">
        <f t="shared" si="356"/>
        <v>Show</v>
      </c>
      <c r="E190" s="1"/>
      <c r="F190" t="str">
        <f>"""Ceres4"",""TCP-LIVE"",""27"",""1"",""P400007"""</f>
        <v>"Ceres4","TCP-LIVE","27","1","P400007"</v>
      </c>
      <c r="G190" t="str">
        <f>"P400007"</f>
        <v>P400007</v>
      </c>
      <c r="H190" t="str">
        <f>"Protein - Beef Shredded Cooked"</f>
        <v>Protein - Beef Shredded Cooked</v>
      </c>
      <c r="I190" s="5" t="str">
        <f>"BAG"</f>
        <v>BAG</v>
      </c>
      <c r="J190" s="5">
        <v>5</v>
      </c>
      <c r="K190" s="5">
        <v>0</v>
      </c>
      <c r="L190" t="str">
        <f t="shared" ref="L190" si="382">IFERROR(IF(K190*J190=0,"0",K190*J190),0)</f>
        <v>0</v>
      </c>
      <c r="M190" s="5">
        <v>0</v>
      </c>
      <c r="N190" t="str">
        <f t="shared" ref="N190" si="383">IF(M190*J190=0,"0",M190*J190)</f>
        <v>0</v>
      </c>
      <c r="O190" s="5">
        <v>1</v>
      </c>
      <c r="P190" s="5">
        <v>29.944290000000002</v>
      </c>
      <c r="Q190" s="5">
        <f t="shared" ref="Q190" si="384">P190*O190</f>
        <v>29.944290000000002</v>
      </c>
      <c r="R190" s="6">
        <f t="shared" ref="R190" si="385">IFERROR(Q190+N190+L190,"")</f>
        <v>29.944290000000002</v>
      </c>
    </row>
    <row r="191" spans="1:18" x14ac:dyDescent="0.25">
      <c r="A191" t="s">
        <v>27</v>
      </c>
      <c r="B191" t="str">
        <f t="shared" ref="B191" si="386">IF($G190="","Hide","Show")</f>
        <v>Show</v>
      </c>
      <c r="H191" t="str">
        <f>"1- 5 lb "</f>
        <v xml:space="preserve">1- 5 lb </v>
      </c>
    </row>
    <row r="192" spans="1:18" x14ac:dyDescent="0.25">
      <c r="A192" t="s">
        <v>27</v>
      </c>
      <c r="B192" t="str">
        <f t="shared" si="356"/>
        <v>Show</v>
      </c>
      <c r="E192" s="1"/>
      <c r="F192" t="str">
        <f>"""Ceres4"",""TCP-LIVE"",""27"",""1"",""P400010"""</f>
        <v>"Ceres4","TCP-LIVE","27","1","P400010"</v>
      </c>
      <c r="G192" t="str">
        <f>"P400010"</f>
        <v>P400010</v>
      </c>
      <c r="H192" t="str">
        <f>"Protein - Thick Beef Patties"</f>
        <v>Protein - Thick Beef Patties</v>
      </c>
      <c r="I192" s="5" t="str">
        <f>"EA"</f>
        <v>EA</v>
      </c>
      <c r="J192" s="5">
        <v>1</v>
      </c>
      <c r="K192" s="5">
        <v>0</v>
      </c>
      <c r="L192" t="str">
        <f t="shared" ref="L192" si="387">IFERROR(IF(K192*J192=0,"0",K192*J192),0)</f>
        <v>0</v>
      </c>
      <c r="M192" s="5">
        <v>0</v>
      </c>
      <c r="N192" t="str">
        <f t="shared" ref="N192" si="388">IF(M192*J192=0,"0",M192*J192)</f>
        <v>0</v>
      </c>
      <c r="O192" s="5">
        <v>1.1000000000000001</v>
      </c>
      <c r="P192" s="5">
        <v>11.648</v>
      </c>
      <c r="Q192" s="5">
        <f t="shared" ref="Q192" si="389">P192*O192</f>
        <v>12.812800000000001</v>
      </c>
      <c r="R192" s="6">
        <f t="shared" ref="R192" si="390">IFERROR(Q192+N192+L192,"")</f>
        <v>12.812800000000001</v>
      </c>
    </row>
    <row r="193" spans="1:18" x14ac:dyDescent="0.25">
      <c r="A193" t="s">
        <v>27</v>
      </c>
      <c r="B193" t="str">
        <f t="shared" ref="B193" si="391">IF($G192="","Hide","Show")</f>
        <v>Show</v>
      </c>
      <c r="H193" t="str">
        <f>"2-4 pk "</f>
        <v xml:space="preserve">2-4 pk </v>
      </c>
    </row>
    <row r="194" spans="1:18" x14ac:dyDescent="0.25">
      <c r="A194" t="s">
        <v>27</v>
      </c>
      <c r="B194" t="str">
        <f t="shared" si="356"/>
        <v>Show</v>
      </c>
      <c r="E194" s="1"/>
      <c r="F194" t="str">
        <f>"""Ceres4"",""TCP-LIVE"",""27"",""1"",""P400012"""</f>
        <v>"Ceres4","TCP-LIVE","27","1","P400012"</v>
      </c>
      <c r="G194" t="str">
        <f>"P400012"</f>
        <v>P400012</v>
      </c>
      <c r="H194" t="str">
        <f>"Protein- Beef Ribeye "</f>
        <v xml:space="preserve">Protein- Beef Ribeye </v>
      </c>
      <c r="I194" s="5" t="str">
        <f>"EA"</f>
        <v>EA</v>
      </c>
      <c r="J194" s="5">
        <v>2</v>
      </c>
      <c r="K194" s="5">
        <v>0</v>
      </c>
      <c r="L194" t="str">
        <f t="shared" ref="L194" si="392">IFERROR(IF(K194*J194=0,"0",K194*J194),0)</f>
        <v>0</v>
      </c>
      <c r="M194" s="5">
        <v>0</v>
      </c>
      <c r="N194" t="str">
        <f t="shared" ref="N194" si="393">IF(M194*J194=0,"0",M194*J194)</f>
        <v>0</v>
      </c>
      <c r="O194" s="5">
        <v>1</v>
      </c>
      <c r="P194" s="5">
        <v>17.546220000000002</v>
      </c>
      <c r="Q194" s="5">
        <f t="shared" ref="Q194" si="394">P194*O194</f>
        <v>17.546220000000002</v>
      </c>
      <c r="R194" s="6">
        <f t="shared" ref="R194" si="395">IFERROR(Q194+N194+L194,"")</f>
        <v>17.546220000000002</v>
      </c>
    </row>
    <row r="195" spans="1:18" x14ac:dyDescent="0.25">
      <c r="A195" t="s">
        <v>27</v>
      </c>
      <c r="B195" t="str">
        <f t="shared" ref="B195" si="396">IF($G194="","Hide","Show")</f>
        <v>Show</v>
      </c>
      <c r="H195" t="str">
        <f>"1-2 lb"</f>
        <v>1-2 lb</v>
      </c>
    </row>
    <row r="196" spans="1:18" x14ac:dyDescent="0.25">
      <c r="A196" t="s">
        <v>27</v>
      </c>
      <c r="B196" t="str">
        <f t="shared" si="356"/>
        <v>Show</v>
      </c>
      <c r="E196" s="1"/>
      <c r="F196" t="str">
        <f>"""Ceres4"",""TCP-LIVE"",""27"",""1"",""P420000"""</f>
        <v>"Ceres4","TCP-LIVE","27","1","P420000"</v>
      </c>
      <c r="G196" t="str">
        <f>"P420000"</f>
        <v>P420000</v>
      </c>
      <c r="H196" t="str">
        <f>"Protein-Bacon"</f>
        <v>Protein-Bacon</v>
      </c>
      <c r="I196" s="5" t="str">
        <f>"EA"</f>
        <v>EA</v>
      </c>
      <c r="J196" s="5">
        <v>1</v>
      </c>
      <c r="K196" s="5">
        <v>0</v>
      </c>
      <c r="L196" t="str">
        <f t="shared" ref="L196" si="397">IFERROR(IF(K196*J196=0,"0",K196*J196),0)</f>
        <v>0</v>
      </c>
      <c r="M196" s="5">
        <v>0</v>
      </c>
      <c r="N196" t="str">
        <f t="shared" ref="N196" si="398">IF(M196*J196=0,"0",M196*J196)</f>
        <v>0</v>
      </c>
      <c r="O196" s="5">
        <v>1.1000000000000001</v>
      </c>
      <c r="P196" s="5">
        <v>3.3866700000000005</v>
      </c>
      <c r="Q196" s="5">
        <f t="shared" ref="Q196" si="399">P196*O196</f>
        <v>3.725337000000001</v>
      </c>
      <c r="R196" s="6">
        <f t="shared" ref="R196" si="400">IFERROR(Q196+N196+L196,"")</f>
        <v>3.725337000000001</v>
      </c>
    </row>
    <row r="197" spans="1:18" x14ac:dyDescent="0.25">
      <c r="A197" t="s">
        <v>27</v>
      </c>
      <c r="B197" t="str">
        <f t="shared" ref="B197" si="401">IF($G196="","Hide","Show")</f>
        <v>Show</v>
      </c>
      <c r="H197" t="str">
        <f>"1-1 lb "</f>
        <v xml:space="preserve">1-1 lb </v>
      </c>
    </row>
    <row r="198" spans="1:18" x14ac:dyDescent="0.25">
      <c r="A198" t="s">
        <v>27</v>
      </c>
      <c r="B198" t="str">
        <f t="shared" si="356"/>
        <v>Show</v>
      </c>
      <c r="E198" s="1"/>
      <c r="F198" t="str">
        <f>"""Ceres4"",""TCP-LIVE"",""27"",""1"",""P420001"""</f>
        <v>"Ceres4","TCP-LIVE","27","1","P420001"</v>
      </c>
      <c r="G198" t="str">
        <f>"P420001"</f>
        <v>P420001</v>
      </c>
      <c r="H198" t="str">
        <f>"Protein-Sausage Links"</f>
        <v>Protein-Sausage Links</v>
      </c>
      <c r="I198" s="5" t="str">
        <f>"EA"</f>
        <v>EA</v>
      </c>
      <c r="J198" s="5">
        <v>1</v>
      </c>
      <c r="K198" s="5">
        <v>0</v>
      </c>
      <c r="L198" t="str">
        <f t="shared" ref="L198" si="402">IFERROR(IF(K198*J198=0,"0",K198*J198),0)</f>
        <v>0</v>
      </c>
      <c r="M198" s="5">
        <v>0</v>
      </c>
      <c r="N198" t="str">
        <f t="shared" ref="N198" si="403">IF(M198*J198=0,"0",M198*J198)</f>
        <v>0</v>
      </c>
      <c r="O198" s="5">
        <v>1.1000000000000001</v>
      </c>
      <c r="P198" s="5">
        <v>3.5065</v>
      </c>
      <c r="Q198" s="5">
        <f t="shared" ref="Q198" si="404">P198*O198</f>
        <v>3.8571500000000003</v>
      </c>
      <c r="R198" s="6">
        <f t="shared" ref="R198" si="405">IFERROR(Q198+N198+L198,"")</f>
        <v>3.8571500000000003</v>
      </c>
    </row>
    <row r="199" spans="1:18" x14ac:dyDescent="0.25">
      <c r="A199" t="s">
        <v>27</v>
      </c>
      <c r="B199" t="str">
        <f t="shared" ref="B199" si="406">IF($G198="","Hide","Show")</f>
        <v>Show</v>
      </c>
      <c r="H199" t="str">
        <f>"1-1 lb"</f>
        <v>1-1 lb</v>
      </c>
    </row>
    <row r="200" spans="1:18" x14ac:dyDescent="0.25">
      <c r="A200" t="s">
        <v>27</v>
      </c>
      <c r="B200" t="str">
        <f t="shared" si="356"/>
        <v>Show</v>
      </c>
      <c r="E200" s="1"/>
      <c r="F200" t="str">
        <f>"""Ceres4"",""TCP-LIVE"",""27"",""1"",""P420002"""</f>
        <v>"Ceres4","TCP-LIVE","27","1","P420002"</v>
      </c>
      <c r="G200" t="str">
        <f>"P420002"</f>
        <v>P420002</v>
      </c>
      <c r="H200" t="str">
        <f>"Protein-Pork Sausage Patty"</f>
        <v>Protein-Pork Sausage Patty</v>
      </c>
      <c r="I200" s="5" t="str">
        <f>"EA"</f>
        <v>EA</v>
      </c>
      <c r="J200" s="5">
        <v>1</v>
      </c>
      <c r="K200" s="5">
        <v>0</v>
      </c>
      <c r="L200" t="str">
        <f t="shared" ref="L200" si="407">IFERROR(IF(K200*J200=0,"0",K200*J200),0)</f>
        <v>0</v>
      </c>
      <c r="M200" s="5">
        <v>0</v>
      </c>
      <c r="N200" t="str">
        <f t="shared" ref="N200" si="408">IF(M200*J200=0,"0",M200*J200)</f>
        <v>0</v>
      </c>
      <c r="O200" s="5">
        <v>1.1000000000000001</v>
      </c>
      <c r="P200" s="5">
        <v>2.6427499999999999</v>
      </c>
      <c r="Q200" s="5">
        <f t="shared" ref="Q200" si="409">P200*O200</f>
        <v>2.907025</v>
      </c>
      <c r="R200" s="6">
        <f t="shared" ref="R200" si="410">IFERROR(Q200+N200+L200,"")</f>
        <v>2.907025</v>
      </c>
    </row>
    <row r="201" spans="1:18" x14ac:dyDescent="0.25">
      <c r="A201" t="s">
        <v>27</v>
      </c>
      <c r="B201" t="str">
        <f t="shared" ref="B201" si="411">IF($G200="","Hide","Show")</f>
        <v>Show</v>
      </c>
      <c r="H201" t="str">
        <f>"1-1 lb"</f>
        <v>1-1 lb</v>
      </c>
    </row>
    <row r="202" spans="1:18" x14ac:dyDescent="0.25">
      <c r="A202" t="s">
        <v>27</v>
      </c>
      <c r="B202" t="str">
        <f t="shared" si="356"/>
        <v>Show</v>
      </c>
      <c r="E202" s="1"/>
      <c r="F202" t="str">
        <f>"""Ceres4"",""TCP-LIVE"",""27"",""1"",""P420003"""</f>
        <v>"Ceres4","TCP-LIVE","27","1","P420003"</v>
      </c>
      <c r="G202" t="str">
        <f>"P420003"</f>
        <v>P420003</v>
      </c>
      <c r="H202" t="str">
        <f>"Protein - Bacon"</f>
        <v>Protein - Bacon</v>
      </c>
      <c r="I202" s="5" t="str">
        <f>"LB"</f>
        <v>LB</v>
      </c>
      <c r="J202" s="5">
        <v>1</v>
      </c>
      <c r="K202" s="5">
        <v>0</v>
      </c>
      <c r="L202" t="str">
        <f t="shared" ref="L202" si="412">IFERROR(IF(K202*J202=0,"0",K202*J202),0)</f>
        <v>0</v>
      </c>
      <c r="M202" s="5">
        <v>0</v>
      </c>
      <c r="N202" t="str">
        <f t="shared" ref="N202" si="413">IF(M202*J202=0,"0",M202*J202)</f>
        <v>0</v>
      </c>
      <c r="O202" s="5">
        <v>1.1000000000000001</v>
      </c>
      <c r="P202" s="5">
        <v>3.7088000000000001</v>
      </c>
      <c r="Q202" s="5">
        <f t="shared" ref="Q202" si="414">P202*O202</f>
        <v>4.0796800000000006</v>
      </c>
      <c r="R202" s="6">
        <f t="shared" ref="R202" si="415">IFERROR(Q202+N202+L202,"")</f>
        <v>4.0796800000000006</v>
      </c>
    </row>
    <row r="203" spans="1:18" x14ac:dyDescent="0.25">
      <c r="A203" t="s">
        <v>27</v>
      </c>
      <c r="B203" t="str">
        <f t="shared" ref="B203" si="416">IF($G202="","Hide","Show")</f>
        <v>Show</v>
      </c>
      <c r="H203" t="str">
        <f>"1 lb  "</f>
        <v xml:space="preserve">1 lb  </v>
      </c>
    </row>
    <row r="204" spans="1:18" x14ac:dyDescent="0.25">
      <c r="A204" t="s">
        <v>27</v>
      </c>
      <c r="B204" t="str">
        <f t="shared" si="356"/>
        <v>Show</v>
      </c>
      <c r="E204" s="1"/>
      <c r="F204" t="str">
        <f>"""Ceres4"",""TCP-LIVE"",""27"",""1"",""P420005"""</f>
        <v>"Ceres4","TCP-LIVE","27","1","P420005"</v>
      </c>
      <c r="G204" t="str">
        <f>"P420005"</f>
        <v>P420005</v>
      </c>
      <c r="H204" t="str">
        <f>"Protein - Lunchmeat - Slice Ham"</f>
        <v>Protein - Lunchmeat - Slice Ham</v>
      </c>
      <c r="I204" s="5" t="str">
        <f>"EA"</f>
        <v>EA</v>
      </c>
      <c r="J204" s="5">
        <v>2</v>
      </c>
      <c r="K204" s="5">
        <v>0</v>
      </c>
      <c r="L204" t="str">
        <f t="shared" ref="L204" si="417">IFERROR(IF(K204*J204=0,"0",K204*J204),0)</f>
        <v>0</v>
      </c>
      <c r="M204" s="5">
        <v>0</v>
      </c>
      <c r="N204" t="str">
        <f t="shared" ref="N204" si="418">IF(M204*J204=0,"0",M204*J204)</f>
        <v>0</v>
      </c>
      <c r="O204" s="5">
        <v>1.1000000000000001</v>
      </c>
      <c r="P204" s="5">
        <v>3.8468800000000001</v>
      </c>
      <c r="Q204" s="5">
        <f t="shared" ref="Q204" si="419">P204*O204</f>
        <v>4.2315680000000002</v>
      </c>
      <c r="R204" s="6">
        <f t="shared" ref="R204" si="420">IFERROR(Q204+N204+L204,"")</f>
        <v>4.2315680000000002</v>
      </c>
    </row>
    <row r="205" spans="1:18" x14ac:dyDescent="0.25">
      <c r="A205" t="s">
        <v>27</v>
      </c>
      <c r="B205" t="str">
        <f t="shared" ref="B205" si="421">IF($G204="","Hide","Show")</f>
        <v>Show</v>
      </c>
      <c r="H205" t="str">
        <f>"1 -1  lb"</f>
        <v>1 -1  lb</v>
      </c>
    </row>
    <row r="206" spans="1:18" x14ac:dyDescent="0.25">
      <c r="A206" t="s">
        <v>27</v>
      </c>
      <c r="B206" t="str">
        <f t="shared" si="356"/>
        <v>Show</v>
      </c>
      <c r="E206" s="1"/>
      <c r="F206" t="str">
        <f>"""Ceres4"",""TCP-LIVE"",""27"",""1"",""P429991"""</f>
        <v>"Ceres4","TCP-LIVE","27","1","P429991"</v>
      </c>
      <c r="G206" t="str">
        <f>"P429991"</f>
        <v>P429991</v>
      </c>
      <c r="H206" t="str">
        <f>"Protein - Chicken Wing Bufflo Jumbo 1 and 2 JT"</f>
        <v>Protein - Chicken Wing Bufflo Jumbo 1 and 2 JT</v>
      </c>
      <c r="I206" s="5" t="str">
        <f>"BAG"</f>
        <v>BAG</v>
      </c>
      <c r="J206" s="5">
        <v>5</v>
      </c>
      <c r="K206" s="5">
        <v>0</v>
      </c>
      <c r="L206" t="str">
        <f t="shared" ref="L206" si="422">IFERROR(IF(K206*J206=0,"0",K206*J206),0)</f>
        <v>0</v>
      </c>
      <c r="M206" s="5">
        <v>0</v>
      </c>
      <c r="N206" t="str">
        <f t="shared" ref="N206" si="423">IF(M206*J206=0,"0",M206*J206)</f>
        <v>0</v>
      </c>
      <c r="O206" s="5">
        <v>1</v>
      </c>
      <c r="P206" s="5">
        <v>21.96</v>
      </c>
      <c r="Q206" s="5">
        <f t="shared" ref="Q206" si="424">P206*O206</f>
        <v>21.96</v>
      </c>
      <c r="R206" s="6">
        <f t="shared" ref="R206" si="425">IFERROR(Q206+N206+L206,"")</f>
        <v>21.96</v>
      </c>
    </row>
    <row r="207" spans="1:18" x14ac:dyDescent="0.25">
      <c r="A207" t="s">
        <v>27</v>
      </c>
      <c r="B207" t="str">
        <f t="shared" ref="B207" si="426">IF($G206="","Hide","Show")</f>
        <v>Show</v>
      </c>
      <c r="H207" t="str">
        <f>"1 - 5 lb"</f>
        <v>1 - 5 lb</v>
      </c>
    </row>
    <row r="208" spans="1:18" x14ac:dyDescent="0.25">
      <c r="A208" t="s">
        <v>27</v>
      </c>
      <c r="B208" t="str">
        <f t="shared" si="356"/>
        <v>Show</v>
      </c>
      <c r="E208" s="1"/>
      <c r="F208" t="str">
        <f>"""Ceres4"",""TCP-LIVE"",""27"",""1"",""P440002"""</f>
        <v>"Ceres4","TCP-LIVE","27","1","P440002"</v>
      </c>
      <c r="G208" t="str">
        <f>"P440002"</f>
        <v>P440002</v>
      </c>
      <c r="H208" t="str">
        <f>"Protein - Chicken Drumstick Cooked"</f>
        <v>Protein - Chicken Drumstick Cooked</v>
      </c>
      <c r="I208" s="5" t="str">
        <f>"BOX"</f>
        <v>BOX</v>
      </c>
      <c r="J208" s="5">
        <v>10</v>
      </c>
      <c r="K208" s="5">
        <v>0</v>
      </c>
      <c r="L208" t="str">
        <f t="shared" ref="L208" si="427">IFERROR(IF(K208*J208=0,"0",K208*J208),0)</f>
        <v>0</v>
      </c>
      <c r="M208" s="5">
        <v>0</v>
      </c>
      <c r="N208" t="str">
        <f t="shared" ref="N208" si="428">IF(M208*J208=0,"0",M208*J208)</f>
        <v>0</v>
      </c>
      <c r="O208" s="5">
        <v>1.1000000000000001</v>
      </c>
      <c r="P208" s="5">
        <v>24.735709999999997</v>
      </c>
      <c r="Q208" s="5">
        <f t="shared" ref="Q208" si="429">P208*O208</f>
        <v>27.209281000000001</v>
      </c>
      <c r="R208" s="6">
        <f t="shared" ref="R208" si="430">IFERROR(Q208+N208+L208,"")</f>
        <v>27.209281000000001</v>
      </c>
    </row>
    <row r="209" spans="1:18" x14ac:dyDescent="0.25">
      <c r="A209" t="s">
        <v>27</v>
      </c>
      <c r="B209" t="str">
        <f t="shared" ref="B209" si="431">IF($G208="","Hide","Show")</f>
        <v>Show</v>
      </c>
      <c r="H209" t="str">
        <f>"2- 5 lb bags"</f>
        <v>2- 5 lb bags</v>
      </c>
    </row>
    <row r="210" spans="1:18" x14ac:dyDescent="0.25">
      <c r="A210" t="s">
        <v>27</v>
      </c>
      <c r="B210" t="str">
        <f t="shared" si="356"/>
        <v>Show</v>
      </c>
      <c r="E210" s="1"/>
      <c r="F210" t="str">
        <f>"""Ceres4"",""TCP-LIVE"",""27"",""1"",""P440003"""</f>
        <v>"Ceres4","TCP-LIVE","27","1","P440003"</v>
      </c>
      <c r="G210" t="str">
        <f>"P440003"</f>
        <v>P440003</v>
      </c>
      <c r="H210" t="str">
        <f>"Protein - Chicken Breast"</f>
        <v>Protein - Chicken Breast</v>
      </c>
      <c r="I210" s="5" t="str">
        <f>"CS"</f>
        <v>CS</v>
      </c>
      <c r="J210" s="5">
        <v>2</v>
      </c>
      <c r="K210" s="5">
        <v>0</v>
      </c>
      <c r="L210" t="str">
        <f t="shared" ref="L210" si="432">IFERROR(IF(K210*J210=0,"0",K210*J210),0)</f>
        <v>0</v>
      </c>
      <c r="M210" s="5">
        <v>0</v>
      </c>
      <c r="N210" t="str">
        <f t="shared" ref="N210" si="433">IF(M210*J210=0,"0",M210*J210)</f>
        <v>0</v>
      </c>
      <c r="O210" s="5">
        <v>1</v>
      </c>
      <c r="P210" s="5">
        <v>10.34083</v>
      </c>
      <c r="Q210" s="5">
        <f t="shared" ref="Q210" si="434">P210*O210</f>
        <v>10.34083</v>
      </c>
      <c r="R210" s="6">
        <f t="shared" ref="R210" si="435">IFERROR(Q210+N210+L210,"")</f>
        <v>10.34083</v>
      </c>
    </row>
    <row r="211" spans="1:18" x14ac:dyDescent="0.25">
      <c r="A211" t="s">
        <v>27</v>
      </c>
      <c r="B211" t="str">
        <f t="shared" ref="B211" si="436">IF($G210="","Hide","Show")</f>
        <v>Show</v>
      </c>
      <c r="H211" t="str">
        <f>"8- 4 oz"</f>
        <v>8- 4 oz</v>
      </c>
    </row>
    <row r="212" spans="1:18" x14ac:dyDescent="0.25">
      <c r="A212" t="s">
        <v>27</v>
      </c>
      <c r="B212" t="str">
        <f t="shared" si="356"/>
        <v>Show</v>
      </c>
      <c r="E212" s="1"/>
      <c r="F212" t="str">
        <f>"""Ceres4"",""TCP-LIVE"",""27"",""1"",""P440020"""</f>
        <v>"Ceres4","TCP-LIVE","27","1","P440020"</v>
      </c>
      <c r="G212" t="str">
        <f>"P440020"</f>
        <v>P440020</v>
      </c>
      <c r="H212" t="str">
        <f>"Protein - Corn Dogs"</f>
        <v>Protein - Corn Dogs</v>
      </c>
      <c r="I212" s="5" t="str">
        <f>"BAG"</f>
        <v>BAG</v>
      </c>
      <c r="J212" s="5">
        <v>1</v>
      </c>
      <c r="K212" s="5">
        <v>0</v>
      </c>
      <c r="L212" t="str">
        <f t="shared" ref="L212" si="437">IFERROR(IF(K212*J212=0,"0",K212*J212),0)</f>
        <v>0</v>
      </c>
      <c r="M212" s="5">
        <v>0</v>
      </c>
      <c r="N212" t="str">
        <f t="shared" ref="N212" si="438">IF(M212*J212=0,"0",M212*J212)</f>
        <v>0</v>
      </c>
      <c r="O212" s="5">
        <v>1.1000000000000001</v>
      </c>
      <c r="P212" s="5">
        <v>2.6245500000000002</v>
      </c>
      <c r="Q212" s="5">
        <f t="shared" ref="Q212" si="439">P212*O212</f>
        <v>2.8870050000000003</v>
      </c>
      <c r="R212" s="6">
        <f t="shared" ref="R212" si="440">IFERROR(Q212+N212+L212,"")</f>
        <v>2.8870050000000003</v>
      </c>
    </row>
    <row r="213" spans="1:18" x14ac:dyDescent="0.25">
      <c r="A213" t="s">
        <v>27</v>
      </c>
      <c r="B213" t="str">
        <f t="shared" ref="B213" si="441">IF($G212="","Hide","Show")</f>
        <v>Show</v>
      </c>
      <c r="H213" t="str">
        <f>"6 corn dogs   repack item"</f>
        <v>6 corn dogs   repack item</v>
      </c>
    </row>
    <row r="214" spans="1:18" x14ac:dyDescent="0.25">
      <c r="A214" t="s">
        <v>27</v>
      </c>
      <c r="B214" t="str">
        <f t="shared" si="356"/>
        <v>Show</v>
      </c>
      <c r="E214" s="1"/>
      <c r="F214" t="str">
        <f>"""Ceres4"",""TCP-LIVE"",""27"",""1"",""P440034"""</f>
        <v>"Ceres4","TCP-LIVE","27","1","P440034"</v>
      </c>
      <c r="G214" t="str">
        <f>"P440034"</f>
        <v>P440034</v>
      </c>
      <c r="H214" t="str">
        <f>"Protein - Chicken Leg Quarters"</f>
        <v>Protein - Chicken Leg Quarters</v>
      </c>
      <c r="I214" s="5" t="str">
        <f>"BAG"</f>
        <v>BAG</v>
      </c>
      <c r="J214" s="5">
        <v>10</v>
      </c>
      <c r="K214" s="5">
        <v>0</v>
      </c>
      <c r="L214" t="str">
        <f t="shared" ref="L214" si="442">IFERROR(IF(K214*J214=0,"0",K214*J214),0)</f>
        <v>0</v>
      </c>
      <c r="M214" s="5">
        <v>0</v>
      </c>
      <c r="N214" t="str">
        <f t="shared" ref="N214" si="443">IF(M214*J214=0,"0",M214*J214)</f>
        <v>0</v>
      </c>
      <c r="O214" s="5">
        <v>1.1000000000000001</v>
      </c>
      <c r="P214" s="5">
        <v>5.5969199999999999</v>
      </c>
      <c r="Q214" s="5">
        <f t="shared" ref="Q214" si="444">P214*O214</f>
        <v>6.156612</v>
      </c>
      <c r="R214" s="6">
        <f t="shared" ref="R214" si="445">IFERROR(Q214+N214+L214,"")</f>
        <v>6.156612</v>
      </c>
    </row>
    <row r="215" spans="1:18" x14ac:dyDescent="0.25">
      <c r="A215" t="s">
        <v>27</v>
      </c>
      <c r="B215" t="str">
        <f t="shared" ref="B215" si="446">IF($G214="","Hide","Show")</f>
        <v>Show</v>
      </c>
      <c r="H215" t="str">
        <f>"10 lb bag"</f>
        <v>10 lb bag</v>
      </c>
    </row>
    <row r="216" spans="1:18" x14ac:dyDescent="0.25">
      <c r="A216" t="s">
        <v>27</v>
      </c>
      <c r="B216" t="str">
        <f t="shared" si="356"/>
        <v>Show</v>
      </c>
      <c r="E216" s="1"/>
      <c r="F216" t="str">
        <f>"""Ceres4"",""TCP-LIVE"",""27"",""1"",""P449990"""</f>
        <v>"Ceres4","TCP-LIVE","27","1","P449990"</v>
      </c>
      <c r="G216" t="str">
        <f>"P449990"</f>
        <v>P449990</v>
      </c>
      <c r="H216" t="str">
        <f>"Protein - Chicken Wings Smoked 1 and 2 JT "</f>
        <v xml:space="preserve">Protein - Chicken Wings Smoked 1 and 2 JT </v>
      </c>
      <c r="I216" s="5" t="str">
        <f>"BAG"</f>
        <v>BAG</v>
      </c>
      <c r="J216" s="5">
        <v>5</v>
      </c>
      <c r="K216" s="5">
        <v>0</v>
      </c>
      <c r="L216" t="str">
        <f t="shared" ref="L216" si="447">IFERROR(IF(K216*J216=0,"0",K216*J216),0)</f>
        <v>0</v>
      </c>
      <c r="M216" s="5">
        <v>0</v>
      </c>
      <c r="N216" t="str">
        <f t="shared" ref="N216" si="448">IF(M216*J216=0,"0",M216*J216)</f>
        <v>0</v>
      </c>
      <c r="O216" s="5">
        <v>1.1000000000000001</v>
      </c>
      <c r="P216" s="5">
        <v>24.482109999999999</v>
      </c>
      <c r="Q216" s="5">
        <f t="shared" ref="Q216" si="449">P216*O216</f>
        <v>26.930320999999999</v>
      </c>
      <c r="R216" s="6">
        <f t="shared" ref="R216" si="450">IFERROR(Q216+N216+L216,"")</f>
        <v>26.930320999999999</v>
      </c>
    </row>
    <row r="217" spans="1:18" x14ac:dyDescent="0.25">
      <c r="A217" t="s">
        <v>27</v>
      </c>
      <c r="B217" t="str">
        <f t="shared" ref="B217" si="451">IF($G216="","Hide","Show")</f>
        <v>Show</v>
      </c>
      <c r="H217" t="str">
        <f>"1- 5 lb bag"</f>
        <v>1- 5 lb bag</v>
      </c>
    </row>
    <row r="218" spans="1:18" x14ac:dyDescent="0.25">
      <c r="A218" t="s">
        <v>27</v>
      </c>
      <c r="B218" t="str">
        <f t="shared" si="356"/>
        <v>Show</v>
      </c>
      <c r="E218" s="1"/>
      <c r="F218" t="str">
        <f>"""Ceres4"",""TCP-LIVE"",""27"",""1"",""P449991"""</f>
        <v>"Ceres4","TCP-LIVE","27","1","P449991"</v>
      </c>
      <c r="G218" t="str">
        <f>"P449991"</f>
        <v>P449991</v>
      </c>
      <c r="H218" t="str">
        <f>"Protein - Chicken Wings Smoked 1 and 2 JT"</f>
        <v>Protein - Chicken Wings Smoked 1 and 2 JT</v>
      </c>
      <c r="I218" s="5" t="str">
        <f>"BAG"</f>
        <v>BAG</v>
      </c>
      <c r="J218" s="5">
        <v>1</v>
      </c>
      <c r="K218" s="5">
        <v>0</v>
      </c>
      <c r="L218" t="str">
        <f t="shared" ref="L218" si="452">IFERROR(IF(K218*J218=0,"0",K218*J218),0)</f>
        <v>0</v>
      </c>
      <c r="M218" s="5">
        <v>0</v>
      </c>
      <c r="N218" t="str">
        <f t="shared" ref="N218" si="453">IF(M218*J218=0,"0",M218*J218)</f>
        <v>0</v>
      </c>
      <c r="O218" s="5">
        <v>1.1000000000000001</v>
      </c>
      <c r="P218" s="5">
        <v>5.4574999999999996</v>
      </c>
      <c r="Q218" s="5">
        <f t="shared" ref="Q218" si="454">P218*O218</f>
        <v>6.0032500000000004</v>
      </c>
      <c r="R218" s="6">
        <f t="shared" ref="R218" si="455">IFERROR(Q218+N218+L218,"")</f>
        <v>6.0032500000000004</v>
      </c>
    </row>
    <row r="219" spans="1:18" x14ac:dyDescent="0.25">
      <c r="A219" t="s">
        <v>27</v>
      </c>
      <c r="B219" t="str">
        <f t="shared" ref="B219" si="456">IF($G218="","Hide","Show")</f>
        <v>Show</v>
      </c>
      <c r="H219" t="str">
        <f>"12 wings to a bag"</f>
        <v>12 wings to a bag</v>
      </c>
    </row>
    <row r="220" spans="1:18" x14ac:dyDescent="0.25">
      <c r="A220" t="s">
        <v>27</v>
      </c>
      <c r="B220" t="str">
        <f t="shared" si="356"/>
        <v>Show</v>
      </c>
      <c r="E220" s="1"/>
      <c r="F220" t="str">
        <f>"""Ceres4"",""TCP-LIVE"",""27"",""1"",""P449992"""</f>
        <v>"Ceres4","TCP-LIVE","27","1","P449992"</v>
      </c>
      <c r="G220" t="str">
        <f>"P449992"</f>
        <v>P449992</v>
      </c>
      <c r="H220" t="str">
        <f>"Protein- Chicken Wings 1 and 2 JT Chicken Frozen"</f>
        <v>Protein- Chicken Wings 1 and 2 JT Chicken Frozen</v>
      </c>
      <c r="I220" s="5" t="str">
        <f>"BAG"</f>
        <v>BAG</v>
      </c>
      <c r="J220" s="5">
        <v>6</v>
      </c>
      <c r="K220" s="5">
        <v>0</v>
      </c>
      <c r="L220" t="str">
        <f t="shared" ref="L220" si="457">IFERROR(IF(K220*J220=0,"0",K220*J220),0)</f>
        <v>0</v>
      </c>
      <c r="M220" s="5">
        <v>0</v>
      </c>
      <c r="N220" t="str">
        <f t="shared" ref="N220" si="458">IF(M220*J220=0,"0",M220*J220)</f>
        <v>0</v>
      </c>
      <c r="O220" s="5">
        <v>1.1000000000000001</v>
      </c>
      <c r="P220" s="5">
        <v>14.997999999999999</v>
      </c>
      <c r="Q220" s="5">
        <f t="shared" ref="Q220" si="459">P220*O220</f>
        <v>16.497800000000002</v>
      </c>
      <c r="R220" s="6">
        <f t="shared" ref="R220" si="460">IFERROR(Q220+N220+L220,"")</f>
        <v>16.497800000000002</v>
      </c>
    </row>
    <row r="221" spans="1:18" x14ac:dyDescent="0.25">
      <c r="A221" t="s">
        <v>27</v>
      </c>
      <c r="B221" t="str">
        <f t="shared" ref="B221" si="461">IF($G220="","Hide","Show")</f>
        <v>Show</v>
      </c>
      <c r="H221" t="str">
        <f>"1-6 lb bag"</f>
        <v>1-6 lb bag</v>
      </c>
    </row>
    <row r="222" spans="1:18" x14ac:dyDescent="0.25">
      <c r="A222" t="s">
        <v>27</v>
      </c>
      <c r="B222" t="str">
        <f t="shared" si="356"/>
        <v>Show</v>
      </c>
      <c r="E222" s="1"/>
      <c r="F222" t="str">
        <f>"""Ceres4"",""TCP-LIVE"",""27"",""1"",""P450000"""</f>
        <v>"Ceres4","TCP-LIVE","27","1","P450000"</v>
      </c>
      <c r="G222" t="str">
        <f>"P450000"</f>
        <v>P450000</v>
      </c>
      <c r="H222" t="str">
        <f>"Protein - Turkeys "</f>
        <v xml:space="preserve">Protein - Turkeys </v>
      </c>
      <c r="I222" s="5" t="str">
        <f>"EA"</f>
        <v>EA</v>
      </c>
      <c r="J222" s="5">
        <v>13</v>
      </c>
      <c r="K222" s="5">
        <v>0</v>
      </c>
      <c r="L222" t="str">
        <f t="shared" ref="L222" si="462">IFERROR(IF(K222*J222=0,"0",K222*J222),0)</f>
        <v>0</v>
      </c>
      <c r="M222" s="5">
        <v>0</v>
      </c>
      <c r="N222" t="str">
        <f t="shared" ref="N222" si="463">IF(M222*J222=0,"0",M222*J222)</f>
        <v>0</v>
      </c>
      <c r="O222" s="5">
        <v>1</v>
      </c>
      <c r="P222" s="5">
        <v>16.2</v>
      </c>
      <c r="Q222" s="5">
        <f t="shared" ref="Q222" si="464">P222*O222</f>
        <v>16.2</v>
      </c>
      <c r="R222" s="6">
        <f t="shared" ref="R222" si="465">IFERROR(Q222+N222+L222,"")</f>
        <v>16.2</v>
      </c>
    </row>
    <row r="223" spans="1:18" x14ac:dyDescent="0.25">
      <c r="A223" t="s">
        <v>27</v>
      </c>
      <c r="B223" t="str">
        <f t="shared" ref="B223" si="466">IF($G222="","Hide","Show")</f>
        <v>Show</v>
      </c>
      <c r="H223" t="str">
        <f>"1- 13 lb "</f>
        <v xml:space="preserve">1- 13 lb </v>
      </c>
    </row>
    <row r="224" spans="1:18" x14ac:dyDescent="0.25">
      <c r="A224" t="s">
        <v>27</v>
      </c>
      <c r="B224" t="str">
        <f t="shared" si="356"/>
        <v>Show</v>
      </c>
      <c r="E224" s="1"/>
      <c r="F224" t="str">
        <f>"""Ceres4"",""TCP-LIVE"",""27"",""1"",""P480006"""</f>
        <v>"Ceres4","TCP-LIVE","27","1","P480006"</v>
      </c>
      <c r="G224" t="str">
        <f>"P480006"</f>
        <v>P480006</v>
      </c>
      <c r="H224" t="str">
        <f>"Protein - Turkey Lunchmeat"</f>
        <v>Protein - Turkey Lunchmeat</v>
      </c>
      <c r="I224" s="5" t="str">
        <f>"EA"</f>
        <v>EA</v>
      </c>
      <c r="J224" s="5">
        <v>1</v>
      </c>
      <c r="K224" s="5">
        <v>0</v>
      </c>
      <c r="L224" t="str">
        <f t="shared" ref="L224" si="467">IFERROR(IF(K224*J224=0,"0",K224*J224),0)</f>
        <v>0</v>
      </c>
      <c r="M224" s="5">
        <v>0</v>
      </c>
      <c r="N224" t="str">
        <f t="shared" ref="N224" si="468">IF(M224*J224=0,"0",M224*J224)</f>
        <v>0</v>
      </c>
      <c r="O224" s="5">
        <v>1.2</v>
      </c>
      <c r="P224" s="5">
        <v>3.3849999999999998</v>
      </c>
      <c r="Q224" s="5">
        <f t="shared" ref="Q224" si="469">P224*O224</f>
        <v>4.0619999999999994</v>
      </c>
      <c r="R224" s="6">
        <f t="shared" ref="R224" si="470">IFERROR(Q224+N224+L224,"")</f>
        <v>4.0619999999999994</v>
      </c>
    </row>
    <row r="225" spans="1:18" x14ac:dyDescent="0.25">
      <c r="A225" t="s">
        <v>27</v>
      </c>
      <c r="B225" t="str">
        <f t="shared" ref="B225" si="471">IF($G224="","Hide","Show")</f>
        <v>Show</v>
      </c>
      <c r="H225" t="str">
        <f>"1 lb"</f>
        <v>1 lb</v>
      </c>
    </row>
    <row r="226" spans="1:18" x14ac:dyDescent="0.25">
      <c r="A226" t="s">
        <v>27</v>
      </c>
      <c r="B226" t="str">
        <f t="shared" si="356"/>
        <v>Show</v>
      </c>
      <c r="E226" s="1"/>
      <c r="F226" t="str">
        <f>"""Ceres4"",""TCP-LIVE"",""27"",""1"",""P480007"""</f>
        <v>"Ceres4","TCP-LIVE","27","1","P480007"</v>
      </c>
      <c r="G226" t="str">
        <f>"P480007"</f>
        <v>P480007</v>
      </c>
      <c r="H226" t="str">
        <f>"Protein - Sliced Turkey Breast Sandwich meat"</f>
        <v>Protein - Sliced Turkey Breast Sandwich meat</v>
      </c>
      <c r="I226" s="5" t="str">
        <f>"EA"</f>
        <v>EA</v>
      </c>
      <c r="J226" s="5">
        <v>2</v>
      </c>
      <c r="K226" s="5">
        <v>0</v>
      </c>
      <c r="L226" t="str">
        <f t="shared" ref="L226" si="472">IFERROR(IF(K226*J226=0,"0",K226*J226),0)</f>
        <v>0</v>
      </c>
      <c r="M226" s="5">
        <v>0</v>
      </c>
      <c r="N226" t="str">
        <f t="shared" ref="N226" si="473">IF(M226*J226=0,"0",M226*J226)</f>
        <v>0</v>
      </c>
      <c r="O226" s="5">
        <v>1.1000000000000001</v>
      </c>
      <c r="P226" s="5">
        <v>8.8183299999999996</v>
      </c>
      <c r="Q226" s="5">
        <f t="shared" ref="Q226" si="474">P226*O226</f>
        <v>9.7001629999999999</v>
      </c>
      <c r="R226" s="6">
        <f t="shared" ref="R226" si="475">IFERROR(Q226+N226+L226,"")</f>
        <v>9.7001629999999999</v>
      </c>
    </row>
    <row r="227" spans="1:18" x14ac:dyDescent="0.25">
      <c r="A227" t="s">
        <v>27</v>
      </c>
      <c r="B227" t="str">
        <f t="shared" ref="B227" si="476">IF($G226="","Hide","Show")</f>
        <v>Show</v>
      </c>
      <c r="H227" t="str">
        <f>"1-2 lb "</f>
        <v xml:space="preserve">1-2 lb </v>
      </c>
    </row>
    <row r="228" spans="1:18" x14ac:dyDescent="0.25">
      <c r="A228" t="s">
        <v>27</v>
      </c>
      <c r="B228" t="e">
        <f>IF(#REF!="","Hide","Show")</f>
        <v>#REF!</v>
      </c>
    </row>
    <row r="229" spans="1:18" ht="17.25" x14ac:dyDescent="0.3">
      <c r="A229" t="s">
        <v>27</v>
      </c>
      <c r="B229" t="str">
        <f t="shared" ref="B229" si="477">IF($G230="","Hide","Show")</f>
        <v>Show</v>
      </c>
      <c r="C229" t="str">
        <f>"""Ceres4"",""TCP-LIVE"",""14012281"",""1"",""PRO-NON"""</f>
        <v>"Ceres4","TCP-LIVE","14012281","1","PRO-NON"</v>
      </c>
      <c r="D229" t="s">
        <v>57</v>
      </c>
      <c r="E229" s="9" t="s">
        <v>10</v>
      </c>
      <c r="F229" s="2"/>
      <c r="G229" s="8" t="s">
        <v>62</v>
      </c>
    </row>
    <row r="230" spans="1:18" x14ac:dyDescent="0.25">
      <c r="A230" t="s">
        <v>27</v>
      </c>
      <c r="B230" t="str">
        <f t="shared" ref="B230:B232" si="478">IF($G230="","Hide","Show")</f>
        <v>Show</v>
      </c>
      <c r="E230" s="1"/>
      <c r="F230" t="s">
        <v>77</v>
      </c>
      <c r="G230" t="s">
        <v>63</v>
      </c>
      <c r="H230" t="s">
        <v>72</v>
      </c>
      <c r="I230" s="5" t="s">
        <v>69</v>
      </c>
      <c r="J230" s="5">
        <v>12</v>
      </c>
      <c r="K230" s="5">
        <v>0</v>
      </c>
      <c r="L230" t="str">
        <f t="shared" ref="L230" si="479">IFERROR(IF(K230*J230=0,"0",K230*J230),0)</f>
        <v>0</v>
      </c>
      <c r="M230" s="5">
        <v>0</v>
      </c>
      <c r="N230" t="str">
        <f t="shared" ref="N230" si="480">IF(M230*J230=0,"0",M230*J230)</f>
        <v>0</v>
      </c>
      <c r="O230" s="5">
        <v>1.2</v>
      </c>
      <c r="P230" s="5">
        <v>14.33</v>
      </c>
      <c r="Q230" s="5">
        <f t="shared" ref="Q230" si="481">P230*O230</f>
        <v>17.195999999999998</v>
      </c>
      <c r="R230" s="6">
        <f t="shared" ref="R230" si="482">IFERROR(Q230+N230+L230,"")</f>
        <v>17.195999999999998</v>
      </c>
    </row>
    <row r="231" spans="1:18" x14ac:dyDescent="0.25">
      <c r="A231" t="s">
        <v>27</v>
      </c>
      <c r="B231" t="str">
        <f t="shared" ref="B231" si="483">IF($G230="","Hide","Show")</f>
        <v>Show</v>
      </c>
      <c r="H231" t="s">
        <v>73</v>
      </c>
    </row>
    <row r="232" spans="1:18" x14ac:dyDescent="0.25">
      <c r="A232" t="s">
        <v>27</v>
      </c>
      <c r="B232" t="str">
        <f t="shared" si="478"/>
        <v>Show</v>
      </c>
      <c r="E232" s="1"/>
      <c r="F232" t="str">
        <f>"""Ceres4"",""TCP-LIVE"",""27"",""1"",""P490035"""</f>
        <v>"Ceres4","TCP-LIVE","27","1","P490035"</v>
      </c>
      <c r="G232" t="s">
        <v>64</v>
      </c>
      <c r="H232" t="s">
        <v>74</v>
      </c>
      <c r="I232" s="5" t="s">
        <v>70</v>
      </c>
      <c r="J232" s="5">
        <v>7</v>
      </c>
      <c r="K232" s="5">
        <v>0</v>
      </c>
      <c r="L232" t="str">
        <f t="shared" ref="L232" si="484">IFERROR(IF(K232*J232=0,"0",K232*J232),0)</f>
        <v>0</v>
      </c>
      <c r="M232" s="5">
        <v>0</v>
      </c>
      <c r="N232" t="str">
        <f t="shared" ref="N232" si="485">IF(M232*J232=0,"0",M232*J232)</f>
        <v>0</v>
      </c>
      <c r="O232" s="5">
        <v>1.1000000000000001</v>
      </c>
      <c r="P232" s="5">
        <v>7.9224999999999994</v>
      </c>
      <c r="Q232" s="5">
        <f t="shared" ref="Q232" si="486">P232*O232</f>
        <v>8.7147500000000004</v>
      </c>
      <c r="R232" s="6">
        <f t="shared" ref="R232" si="487">IFERROR(Q232+N232+L232,"")</f>
        <v>8.7147500000000004</v>
      </c>
    </row>
    <row r="233" spans="1:18" x14ac:dyDescent="0.25">
      <c r="A233" t="s">
        <v>27</v>
      </c>
      <c r="B233" t="str">
        <f t="shared" ref="B233" si="488">IF($G232="","Hide","Show")</f>
        <v>Show</v>
      </c>
      <c r="H233" t="s">
        <v>75</v>
      </c>
    </row>
    <row r="234" spans="1:18" x14ac:dyDescent="0.25">
      <c r="A234" t="s">
        <v>27</v>
      </c>
      <c r="B234" t="str">
        <f t="shared" ref="B234" si="489">IF($G230="","Hide","Show")</f>
        <v>Show</v>
      </c>
    </row>
    <row r="235" spans="1:18" ht="17.25" hidden="1" x14ac:dyDescent="0.3">
      <c r="A235" t="s">
        <v>27</v>
      </c>
      <c r="B235" t="str">
        <f t="shared" ref="B235" si="490">IF($G236="","Hide","Show")</f>
        <v>Hide</v>
      </c>
      <c r="C235" t="str">
        <f>"""Ceres4"",""TCP-LIVE"",""14012281"",""1"",""RICE"""</f>
        <v>"Ceres4","TCP-LIVE","14012281","1","RICE"</v>
      </c>
      <c r="D235" t="s">
        <v>58</v>
      </c>
      <c r="E235" s="9" t="s">
        <v>10</v>
      </c>
      <c r="F235" s="2"/>
      <c r="G235" s="8" t="s">
        <v>65</v>
      </c>
    </row>
    <row r="236" spans="1:18" hidden="1" x14ac:dyDescent="0.25">
      <c r="A236" t="s">
        <v>27</v>
      </c>
      <c r="B236" t="str">
        <f t="shared" ref="B236" si="491">IF($G236="","Hide","Show")</f>
        <v>Hide</v>
      </c>
      <c r="E236" s="1"/>
      <c r="F236" t="s">
        <v>28</v>
      </c>
      <c r="G236" t="s">
        <v>28</v>
      </c>
      <c r="H236" t="s">
        <v>28</v>
      </c>
      <c r="I236" s="5" t="s">
        <v>28</v>
      </c>
      <c r="J236" s="5" t="s">
        <v>28</v>
      </c>
      <c r="K236" s="5" t="s">
        <v>71</v>
      </c>
      <c r="L236">
        <f t="shared" ref="L236" si="492">IFERROR(IF(K236*J236=0,"0",K236*J236),0)</f>
        <v>0</v>
      </c>
      <c r="M236" s="5" t="s">
        <v>28</v>
      </c>
      <c r="N236" t="e">
        <f t="shared" ref="N236" si="493">IF(M236*J236=0,"0",M236*J236)</f>
        <v>#VALUE!</v>
      </c>
      <c r="O236" s="5" t="s">
        <v>28</v>
      </c>
      <c r="P236" s="5" t="s">
        <v>28</v>
      </c>
      <c r="Q236" s="5" t="e">
        <f t="shared" ref="Q236" si="494">P236*O236</f>
        <v>#VALUE!</v>
      </c>
      <c r="R236" s="6" t="str">
        <f t="shared" ref="R236" si="495">IFERROR(Q236+N236+L236,"")</f>
        <v/>
      </c>
    </row>
    <row r="237" spans="1:18" hidden="1" x14ac:dyDescent="0.25">
      <c r="A237" t="s">
        <v>27</v>
      </c>
      <c r="B237" t="str">
        <f t="shared" ref="B237" si="496">IF($G236="","Hide","Show")</f>
        <v>Hide</v>
      </c>
      <c r="H237" t="s">
        <v>28</v>
      </c>
    </row>
    <row r="238" spans="1:18" hidden="1" x14ac:dyDescent="0.25">
      <c r="A238" t="s">
        <v>27</v>
      </c>
      <c r="B238" t="str">
        <f t="shared" ref="B238" si="497">IF($G236="","Hide","Show")</f>
        <v>Hide</v>
      </c>
    </row>
    <row r="239" spans="1:18" ht="17.25" hidden="1" x14ac:dyDescent="0.3">
      <c r="A239" t="s">
        <v>27</v>
      </c>
      <c r="B239" t="str">
        <f t="shared" ref="B239" si="498">IF($G240="","Hide","Show")</f>
        <v>Hide</v>
      </c>
      <c r="C239" t="str">
        <f>"""Ceres4"",""TCP-LIVE"",""14012281"",""1"",""SALVAGE"""</f>
        <v>"Ceres4","TCP-LIVE","14012281","1","SALVAGE"</v>
      </c>
      <c r="D239" t="s">
        <v>59</v>
      </c>
      <c r="E239" s="9" t="s">
        <v>10</v>
      </c>
      <c r="F239" s="2"/>
      <c r="G239" s="8" t="s">
        <v>66</v>
      </c>
    </row>
    <row r="240" spans="1:18" hidden="1" x14ac:dyDescent="0.25">
      <c r="A240" t="s">
        <v>27</v>
      </c>
      <c r="B240" t="str">
        <f t="shared" ref="B240" si="499">IF($G240="","Hide","Show")</f>
        <v>Hide</v>
      </c>
      <c r="E240" s="1"/>
      <c r="F240" t="s">
        <v>28</v>
      </c>
      <c r="G240" t="s">
        <v>28</v>
      </c>
      <c r="H240" t="s">
        <v>28</v>
      </c>
      <c r="I240" s="5" t="s">
        <v>28</v>
      </c>
      <c r="J240" s="5" t="s">
        <v>28</v>
      </c>
      <c r="K240" s="5" t="s">
        <v>71</v>
      </c>
      <c r="L240">
        <f t="shared" ref="L240" si="500">IFERROR(IF(K240*J240=0,"0",K240*J240),0)</f>
        <v>0</v>
      </c>
      <c r="M240" s="5" t="s">
        <v>28</v>
      </c>
      <c r="N240" t="e">
        <f t="shared" ref="N240" si="501">IF(M240*J240=0,"0",M240*J240)</f>
        <v>#VALUE!</v>
      </c>
      <c r="O240" s="5" t="s">
        <v>28</v>
      </c>
      <c r="P240" s="5" t="s">
        <v>28</v>
      </c>
      <c r="Q240" s="5" t="e">
        <f t="shared" ref="Q240" si="502">P240*O240</f>
        <v>#VALUE!</v>
      </c>
      <c r="R240" s="6" t="str">
        <f t="shared" ref="R240" si="503">IFERROR(Q240+N240+L240,"")</f>
        <v/>
      </c>
    </row>
    <row r="241" spans="1:18" hidden="1" x14ac:dyDescent="0.25">
      <c r="A241" t="s">
        <v>27</v>
      </c>
      <c r="B241" t="str">
        <f t="shared" ref="B241" si="504">IF($G240="","Hide","Show")</f>
        <v>Hide</v>
      </c>
      <c r="H241" t="s">
        <v>28</v>
      </c>
    </row>
    <row r="242" spans="1:18" hidden="1" x14ac:dyDescent="0.25">
      <c r="A242" t="s">
        <v>27</v>
      </c>
      <c r="B242" t="str">
        <f t="shared" ref="B242" si="505">IF($G240="","Hide","Show")</f>
        <v>Hide</v>
      </c>
    </row>
    <row r="243" spans="1:18" ht="17.25" x14ac:dyDescent="0.3">
      <c r="A243" t="s">
        <v>27</v>
      </c>
      <c r="B243" t="str">
        <f t="shared" ref="B243" si="506">IF($G244="","Hide","Show")</f>
        <v>Show</v>
      </c>
      <c r="C243" t="str">
        <f>"""Ceres4"",""TCP-LIVE"",""14012281"",""1"",""SNACK"""</f>
        <v>"Ceres4","TCP-LIVE","14012281","1","SNACK"</v>
      </c>
      <c r="D243" t="s">
        <v>60</v>
      </c>
      <c r="E243" s="9" t="s">
        <v>10</v>
      </c>
      <c r="F243" s="2"/>
      <c r="G243" s="8" t="s">
        <v>67</v>
      </c>
    </row>
    <row r="244" spans="1:18" x14ac:dyDescent="0.25">
      <c r="A244" t="s">
        <v>27</v>
      </c>
      <c r="B244" t="str">
        <f t="shared" ref="B244:B266" si="507">IF($G244="","Hide","Show")</f>
        <v>Show</v>
      </c>
      <c r="E244" s="1"/>
      <c r="F244" t="s">
        <v>76</v>
      </c>
      <c r="G244" t="str">
        <f>"600053"</f>
        <v>600053</v>
      </c>
      <c r="H244" t="str">
        <f>"Snack - Sweet and Salty Nut"</f>
        <v>Snack - Sweet and Salty Nut</v>
      </c>
      <c r="I244" s="5" t="str">
        <f>"CS"</f>
        <v>CS</v>
      </c>
      <c r="J244" s="5">
        <v>4</v>
      </c>
      <c r="K244" s="5">
        <v>0.19</v>
      </c>
      <c r="L244">
        <f t="shared" ref="L244" si="508">IFERROR(IF(K244*J244=0,"0",K244*J244),0)</f>
        <v>0.76</v>
      </c>
      <c r="M244" s="5">
        <v>0</v>
      </c>
      <c r="N244" t="str">
        <f t="shared" ref="N244" si="509">IF(M244*J244=0,"0",M244*J244)</f>
        <v>0</v>
      </c>
      <c r="O244" s="5">
        <v>1</v>
      </c>
      <c r="P244" s="5">
        <v>0</v>
      </c>
      <c r="Q244" s="5">
        <f t="shared" ref="Q244" si="510">P244*O244</f>
        <v>0</v>
      </c>
      <c r="R244" s="6">
        <f t="shared" ref="R244" si="511">IFERROR(Q244+N244+L244,"")</f>
        <v>0.76</v>
      </c>
    </row>
    <row r="245" spans="1:18" x14ac:dyDescent="0.25">
      <c r="A245" t="s">
        <v>27</v>
      </c>
      <c r="B245" t="str">
        <f t="shared" ref="B245" si="512">IF($G244="","Hide","Show")</f>
        <v>Show</v>
      </c>
      <c r="H245" t="str">
        <f>"12-7 oz"</f>
        <v>12-7 oz</v>
      </c>
    </row>
    <row r="246" spans="1:18" x14ac:dyDescent="0.25">
      <c r="A246" t="s">
        <v>27</v>
      </c>
      <c r="B246" t="str">
        <f t="shared" si="507"/>
        <v>Show</v>
      </c>
      <c r="E246" s="1"/>
      <c r="F246" t="str">
        <f>"""Ceres4"",""TCP-LIVE"",""27"",""1"",""600293"""</f>
        <v>"Ceres4","TCP-LIVE","27","1","600293"</v>
      </c>
      <c r="G246" t="str">
        <f>"600293"</f>
        <v>600293</v>
      </c>
      <c r="H246" t="str">
        <f>"Snack - Pringles Pizza"</f>
        <v>Snack - Pringles Pizza</v>
      </c>
      <c r="I246" s="5" t="str">
        <f>"CS"</f>
        <v>CS</v>
      </c>
      <c r="J246" s="5">
        <v>5</v>
      </c>
      <c r="K246" s="5">
        <v>0.19</v>
      </c>
      <c r="L246">
        <f t="shared" ref="L246" si="513">IFERROR(IF(K246*J246=0,"0",K246*J246),0)</f>
        <v>0.95</v>
      </c>
      <c r="M246" s="5">
        <v>0</v>
      </c>
      <c r="N246" t="str">
        <f t="shared" ref="N246" si="514">IF(M246*J246=0,"0",M246*J246)</f>
        <v>0</v>
      </c>
      <c r="O246" s="5">
        <v>1</v>
      </c>
      <c r="P246" s="5">
        <v>0</v>
      </c>
      <c r="Q246" s="5">
        <f t="shared" ref="Q246" si="515">P246*O246</f>
        <v>0</v>
      </c>
      <c r="R246" s="6">
        <f t="shared" ref="R246" si="516">IFERROR(Q246+N246+L246,"")</f>
        <v>0.95</v>
      </c>
    </row>
    <row r="247" spans="1:18" x14ac:dyDescent="0.25">
      <c r="A247" t="s">
        <v>27</v>
      </c>
      <c r="B247" t="str">
        <f t="shared" ref="B247" si="517">IF($G246="","Hide","Show")</f>
        <v>Show</v>
      </c>
      <c r="H247" t="str">
        <f>"14-6 oz"</f>
        <v>14-6 oz</v>
      </c>
    </row>
    <row r="248" spans="1:18" x14ac:dyDescent="0.25">
      <c r="A248" t="s">
        <v>27</v>
      </c>
      <c r="B248" t="str">
        <f t="shared" si="507"/>
        <v>Show</v>
      </c>
      <c r="E248" s="1"/>
      <c r="F248" t="str">
        <f>"""Ceres4"",""TCP-LIVE"",""27"",""1"",""600604"""</f>
        <v>"Ceres4","TCP-LIVE","27","1","600604"</v>
      </c>
      <c r="G248" t="str">
        <f>"600604"</f>
        <v>600604</v>
      </c>
      <c r="H248" t="str">
        <f>"Snack - Cheez It Crackers"</f>
        <v>Snack - Cheez It Crackers</v>
      </c>
      <c r="I248" s="5" t="str">
        <f>"CS"</f>
        <v>CS</v>
      </c>
      <c r="J248" s="5">
        <v>4</v>
      </c>
      <c r="K248" s="5">
        <v>0.19</v>
      </c>
      <c r="L248">
        <f t="shared" ref="L248" si="518">IFERROR(IF(K248*J248=0,"0",K248*J248),0)</f>
        <v>0.76</v>
      </c>
      <c r="M248" s="5">
        <v>0</v>
      </c>
      <c r="N248" t="str">
        <f t="shared" ref="N248" si="519">IF(M248*J248=0,"0",M248*J248)</f>
        <v>0</v>
      </c>
      <c r="O248" s="5">
        <v>1</v>
      </c>
      <c r="P248" s="5">
        <v>0</v>
      </c>
      <c r="Q248" s="5">
        <f t="shared" ref="Q248" si="520">P248*O248</f>
        <v>0</v>
      </c>
      <c r="R248" s="6">
        <f t="shared" ref="R248" si="521">IFERROR(Q248+N248+L248,"")</f>
        <v>0.76</v>
      </c>
    </row>
    <row r="249" spans="1:18" x14ac:dyDescent="0.25">
      <c r="A249" t="s">
        <v>27</v>
      </c>
      <c r="B249" t="str">
        <f t="shared" ref="B249" si="522">IF($G248="","Hide","Show")</f>
        <v>Show</v>
      </c>
      <c r="H249" t="str">
        <f>"60-1 oz"</f>
        <v>60-1 oz</v>
      </c>
    </row>
    <row r="250" spans="1:18" x14ac:dyDescent="0.25">
      <c r="A250" t="s">
        <v>27</v>
      </c>
      <c r="B250" t="str">
        <f t="shared" si="507"/>
        <v>Show</v>
      </c>
      <c r="E250" s="1"/>
      <c r="F250" t="str">
        <f>"""Ceres4"",""TCP-LIVE"",""27"",""1"",""600971"""</f>
        <v>"Ceres4","TCP-LIVE","27","1","600971"</v>
      </c>
      <c r="G250" t="str">
        <f>"600971"</f>
        <v>600971</v>
      </c>
      <c r="H250" t="str">
        <f>"Snack- Fiber Bars"</f>
        <v>Snack- Fiber Bars</v>
      </c>
      <c r="I250" s="5" t="str">
        <f>"CS"</f>
        <v>CS</v>
      </c>
      <c r="J250" s="5">
        <v>4</v>
      </c>
      <c r="K250" s="5">
        <v>0.19</v>
      </c>
      <c r="L250">
        <f t="shared" ref="L250" si="523">IFERROR(IF(K250*J250=0,"0",K250*J250),0)</f>
        <v>0.76</v>
      </c>
      <c r="M250" s="5">
        <v>0</v>
      </c>
      <c r="N250" t="str">
        <f t="shared" ref="N250" si="524">IF(M250*J250=0,"0",M250*J250)</f>
        <v>0</v>
      </c>
      <c r="O250" s="5">
        <v>1</v>
      </c>
      <c r="P250" s="5">
        <v>0</v>
      </c>
      <c r="Q250" s="5">
        <f t="shared" ref="Q250" si="525">P250*O250</f>
        <v>0</v>
      </c>
      <c r="R250" s="6">
        <f t="shared" ref="R250" si="526">IFERROR(Q250+N250+L250,"")</f>
        <v>0.76</v>
      </c>
    </row>
    <row r="251" spans="1:18" x14ac:dyDescent="0.25">
      <c r="A251" t="s">
        <v>27</v>
      </c>
      <c r="B251" t="str">
        <f t="shared" ref="B251" si="527">IF($G250="","Hide","Show")</f>
        <v>Show</v>
      </c>
      <c r="H251" t="str">
        <f>"36- 1 oz"</f>
        <v>36- 1 oz</v>
      </c>
    </row>
    <row r="252" spans="1:18" x14ac:dyDescent="0.25">
      <c r="A252" t="s">
        <v>27</v>
      </c>
      <c r="B252" t="str">
        <f t="shared" si="507"/>
        <v>Show</v>
      </c>
      <c r="E252" s="1"/>
      <c r="F252" t="str">
        <f>"""Ceres4"",""TCP-LIVE"",""27"",""1"",""601032"""</f>
        <v>"Ceres4","TCP-LIVE","27","1","601032"</v>
      </c>
      <c r="G252" t="str">
        <f>"601032"</f>
        <v>601032</v>
      </c>
      <c r="H252" t="str">
        <f>"Snack - Cracker Jacks"</f>
        <v>Snack - Cracker Jacks</v>
      </c>
      <c r="I252" s="5" t="str">
        <f>"CS"</f>
        <v>CS</v>
      </c>
      <c r="J252" s="5">
        <v>2</v>
      </c>
      <c r="K252" s="5">
        <v>0.19</v>
      </c>
      <c r="L252">
        <f t="shared" ref="L252" si="528">IFERROR(IF(K252*J252=0,"0",K252*J252),0)</f>
        <v>0.38</v>
      </c>
      <c r="M252" s="5">
        <v>0</v>
      </c>
      <c r="N252" t="str">
        <f t="shared" ref="N252" si="529">IF(M252*J252=0,"0",M252*J252)</f>
        <v>0</v>
      </c>
      <c r="O252" s="5">
        <v>1</v>
      </c>
      <c r="P252" s="5">
        <v>0</v>
      </c>
      <c r="Q252" s="5">
        <f t="shared" ref="Q252" si="530">P252*O252</f>
        <v>0</v>
      </c>
      <c r="R252" s="6">
        <f t="shared" ref="R252" si="531">IFERROR(Q252+N252+L252,"")</f>
        <v>0.38</v>
      </c>
    </row>
    <row r="253" spans="1:18" x14ac:dyDescent="0.25">
      <c r="A253" t="s">
        <v>27</v>
      </c>
      <c r="B253" t="str">
        <f t="shared" ref="B253" si="532">IF($G252="","Hide","Show")</f>
        <v>Show</v>
      </c>
      <c r="H253" t="str">
        <f>"25-1 oz"</f>
        <v>25-1 oz</v>
      </c>
    </row>
    <row r="254" spans="1:18" x14ac:dyDescent="0.25">
      <c r="A254" t="s">
        <v>27</v>
      </c>
      <c r="B254" t="str">
        <f t="shared" si="507"/>
        <v>Show</v>
      </c>
      <c r="E254" s="1"/>
      <c r="F254" t="str">
        <f>"""Ceres4"",""TCP-LIVE"",""27"",""1"",""601071"""</f>
        <v>"Ceres4","TCP-LIVE","27","1","601071"</v>
      </c>
      <c r="G254" t="str">
        <f>"601071"</f>
        <v>601071</v>
      </c>
      <c r="H254" t="str">
        <f>"Snack - Rice Krispies Treats"</f>
        <v>Snack - Rice Krispies Treats</v>
      </c>
      <c r="I254" s="5" t="str">
        <f>"CS"</f>
        <v>CS</v>
      </c>
      <c r="J254" s="5">
        <v>72</v>
      </c>
      <c r="K254" s="5">
        <v>0.19</v>
      </c>
      <c r="L254">
        <f t="shared" ref="L254" si="533">IFERROR(IF(K254*J254=0,"0",K254*J254),0)</f>
        <v>13.68</v>
      </c>
      <c r="M254" s="5">
        <v>0</v>
      </c>
      <c r="N254" t="str">
        <f t="shared" ref="N254" si="534">IF(M254*J254=0,"0",M254*J254)</f>
        <v>0</v>
      </c>
      <c r="O254" s="5">
        <v>1</v>
      </c>
      <c r="P254" s="5">
        <v>0</v>
      </c>
      <c r="Q254" s="5">
        <f t="shared" ref="Q254" si="535">P254*O254</f>
        <v>0</v>
      </c>
      <c r="R254" s="6">
        <f t="shared" ref="R254" si="536">IFERROR(Q254+N254+L254,"")</f>
        <v>13.68</v>
      </c>
    </row>
    <row r="255" spans="1:18" x14ac:dyDescent="0.25">
      <c r="A255" t="s">
        <v>27</v>
      </c>
      <c r="B255" t="str">
        <f t="shared" ref="B255" si="537">IF($G254="","Hide","Show")</f>
        <v>Show</v>
      </c>
      <c r="H255" t="str">
        <f>"72 count"</f>
        <v>72 count</v>
      </c>
    </row>
    <row r="256" spans="1:18" x14ac:dyDescent="0.25">
      <c r="A256" t="s">
        <v>27</v>
      </c>
      <c r="B256" t="str">
        <f t="shared" si="507"/>
        <v>Show</v>
      </c>
      <c r="E256" s="1"/>
      <c r="F256" t="str">
        <f>"""Ceres4"",""TCP-LIVE"",""27"",""1"",""601080"""</f>
        <v>"Ceres4","TCP-LIVE","27","1","601080"</v>
      </c>
      <c r="G256" t="str">
        <f>"601080"</f>
        <v>601080</v>
      </c>
      <c r="H256" t="str">
        <f>"Snack - Mini Oreo"</f>
        <v>Snack - Mini Oreo</v>
      </c>
      <c r="I256" s="5" t="str">
        <f>"CS"</f>
        <v>CS</v>
      </c>
      <c r="J256" s="5">
        <v>4</v>
      </c>
      <c r="K256" s="5">
        <v>0.19</v>
      </c>
      <c r="L256">
        <f t="shared" ref="L256" si="538">IFERROR(IF(K256*J256=0,"0",K256*J256),0)</f>
        <v>0.76</v>
      </c>
      <c r="M256" s="5">
        <v>0</v>
      </c>
      <c r="N256" t="str">
        <f t="shared" ref="N256" si="539">IF(M256*J256=0,"0",M256*J256)</f>
        <v>0</v>
      </c>
      <c r="O256" s="5">
        <v>1</v>
      </c>
      <c r="P256" s="5">
        <v>0</v>
      </c>
      <c r="Q256" s="5">
        <f t="shared" ref="Q256" si="540">P256*O256</f>
        <v>0</v>
      </c>
      <c r="R256" s="6">
        <f t="shared" ref="R256" si="541">IFERROR(Q256+N256+L256,"")</f>
        <v>0.76</v>
      </c>
    </row>
    <row r="257" spans="1:18" x14ac:dyDescent="0.25">
      <c r="A257" t="s">
        <v>27</v>
      </c>
      <c r="B257" t="str">
        <f t="shared" ref="B257" si="542">IF($G256="","Hide","Show")</f>
        <v>Show</v>
      </c>
      <c r="H257" t="str">
        <f>"48-1 oz"</f>
        <v>48-1 oz</v>
      </c>
    </row>
    <row r="258" spans="1:18" x14ac:dyDescent="0.25">
      <c r="A258" t="s">
        <v>27</v>
      </c>
      <c r="B258" t="str">
        <f t="shared" si="507"/>
        <v>Show</v>
      </c>
      <c r="E258" s="1"/>
      <c r="F258" t="str">
        <f>"""Ceres4"",""TCP-LIVE"",""27"",""1"",""601228"""</f>
        <v>"Ceres4","TCP-LIVE","27","1","601228"</v>
      </c>
      <c r="G258" t="str">
        <f>"601228"</f>
        <v>601228</v>
      </c>
      <c r="H258" t="str">
        <f>"Snack - Rice Krispies Treats"</f>
        <v>Snack - Rice Krispies Treats</v>
      </c>
      <c r="I258" s="5" t="str">
        <f>"CS"</f>
        <v>CS</v>
      </c>
      <c r="J258" s="5">
        <v>8</v>
      </c>
      <c r="K258" s="5">
        <v>0.19</v>
      </c>
      <c r="L258">
        <f t="shared" ref="L258" si="543">IFERROR(IF(K258*J258=0,"0",K258*J258),0)</f>
        <v>1.52</v>
      </c>
      <c r="M258" s="5">
        <v>0</v>
      </c>
      <c r="N258" t="str">
        <f t="shared" ref="N258" si="544">IF(M258*J258=0,"0",M258*J258)</f>
        <v>0</v>
      </c>
      <c r="O258" s="5">
        <v>1</v>
      </c>
      <c r="P258" s="5">
        <v>0</v>
      </c>
      <c r="Q258" s="5">
        <f t="shared" ref="Q258" si="545">P258*O258</f>
        <v>0</v>
      </c>
      <c r="R258" s="6">
        <f t="shared" ref="R258" si="546">IFERROR(Q258+N258+L258,"")</f>
        <v>1.52</v>
      </c>
    </row>
    <row r="259" spans="1:18" x14ac:dyDescent="0.25">
      <c r="A259" t="s">
        <v>27</v>
      </c>
      <c r="B259" t="str">
        <f t="shared" ref="B259" si="547">IF($G258="","Hide","Show")</f>
        <v>Show</v>
      </c>
      <c r="H259" t="str">
        <f>"8-8/1 oz"</f>
        <v>8-8/1 oz</v>
      </c>
    </row>
    <row r="260" spans="1:18" x14ac:dyDescent="0.25">
      <c r="A260" t="s">
        <v>27</v>
      </c>
      <c r="B260" t="str">
        <f t="shared" si="507"/>
        <v>Show</v>
      </c>
      <c r="E260" s="1"/>
      <c r="F260" t="str">
        <f>"""Ceres4"",""TCP-LIVE"",""27"",""1"",""601314"""</f>
        <v>"Ceres4","TCP-LIVE","27","1","601314"</v>
      </c>
      <c r="G260" t="str">
        <f>"601314"</f>
        <v>601314</v>
      </c>
      <c r="H260" t="str">
        <f>"Snack - Chex Mix"</f>
        <v>Snack - Chex Mix</v>
      </c>
      <c r="I260" s="5" t="str">
        <f>"CS"</f>
        <v>CS</v>
      </c>
      <c r="J260" s="5">
        <v>6</v>
      </c>
      <c r="K260" s="5">
        <v>0.19</v>
      </c>
      <c r="L260">
        <f t="shared" ref="L260" si="548">IFERROR(IF(K260*J260=0,"0",K260*J260),0)</f>
        <v>1.1400000000000001</v>
      </c>
      <c r="M260" s="5">
        <v>0</v>
      </c>
      <c r="N260" t="str">
        <f t="shared" ref="N260" si="549">IF(M260*J260=0,"0",M260*J260)</f>
        <v>0</v>
      </c>
      <c r="O260" s="5">
        <v>1</v>
      </c>
      <c r="P260" s="5">
        <v>0</v>
      </c>
      <c r="Q260" s="5">
        <f t="shared" ref="Q260" si="550">P260*O260</f>
        <v>0</v>
      </c>
      <c r="R260" s="6">
        <f t="shared" ref="R260" si="551">IFERROR(Q260+N260+L260,"")</f>
        <v>1.1400000000000001</v>
      </c>
    </row>
    <row r="261" spans="1:18" x14ac:dyDescent="0.25">
      <c r="A261" t="s">
        <v>27</v>
      </c>
      <c r="B261" t="str">
        <f t="shared" ref="B261" si="552">IF($G260="","Hide","Show")</f>
        <v>Show</v>
      </c>
      <c r="H261" t="str">
        <f>"3-28 oz"</f>
        <v>3-28 oz</v>
      </c>
    </row>
    <row r="262" spans="1:18" x14ac:dyDescent="0.25">
      <c r="A262" t="s">
        <v>27</v>
      </c>
      <c r="B262" t="str">
        <f t="shared" si="507"/>
        <v>Show</v>
      </c>
      <c r="E262" s="1"/>
      <c r="F262" t="str">
        <f>"""Ceres4"",""TCP-LIVE"",""27"",""1"",""601715"""</f>
        <v>"Ceres4","TCP-LIVE","27","1","601715"</v>
      </c>
      <c r="G262" t="str">
        <f>"601715"</f>
        <v>601715</v>
      </c>
      <c r="H262" t="str">
        <f>"Snack - Teddy Cookies"</f>
        <v>Snack - Teddy Cookies</v>
      </c>
      <c r="I262" s="5" t="str">
        <f>"CS"</f>
        <v>CS</v>
      </c>
      <c r="J262" s="5">
        <v>8</v>
      </c>
      <c r="K262" s="5">
        <v>0.19</v>
      </c>
      <c r="L262">
        <f t="shared" ref="L262" si="553">IFERROR(IF(K262*J262=0,"0",K262*J262),0)</f>
        <v>1.52</v>
      </c>
      <c r="M262" s="5">
        <v>0</v>
      </c>
      <c r="N262" t="str">
        <f t="shared" ref="N262" si="554">IF(M262*J262=0,"0",M262*J262)</f>
        <v>0</v>
      </c>
      <c r="O262" s="5">
        <v>1</v>
      </c>
      <c r="P262" s="5">
        <v>0</v>
      </c>
      <c r="Q262" s="5">
        <f t="shared" ref="Q262" si="555">P262*O262</f>
        <v>0</v>
      </c>
      <c r="R262" s="6">
        <f t="shared" ref="R262" si="556">IFERROR(Q262+N262+L262,"")</f>
        <v>1.52</v>
      </c>
    </row>
    <row r="263" spans="1:18" x14ac:dyDescent="0.25">
      <c r="A263" t="s">
        <v>27</v>
      </c>
      <c r="B263" t="str">
        <f t="shared" ref="B263" si="557">IF($G262="","Hide","Show")</f>
        <v>Show</v>
      </c>
      <c r="H263" t="str">
        <f>"72-1 oz"</f>
        <v>72-1 oz</v>
      </c>
    </row>
    <row r="264" spans="1:18" x14ac:dyDescent="0.25">
      <c r="A264" t="s">
        <v>27</v>
      </c>
      <c r="B264" t="str">
        <f t="shared" si="507"/>
        <v>Show</v>
      </c>
      <c r="E264" s="1"/>
      <c r="F264" t="str">
        <f>"""Ceres4"",""TCP-LIVE"",""27"",""1"",""601732"""</f>
        <v>"Ceres4","TCP-LIVE","27","1","601732"</v>
      </c>
      <c r="G264" t="str">
        <f>"601732"</f>
        <v>601732</v>
      </c>
      <c r="H264" t="str">
        <f>"Snack - Bread Sticks with Cheese"</f>
        <v>Snack - Bread Sticks with Cheese</v>
      </c>
      <c r="I264" s="5" t="str">
        <f>"CS"</f>
        <v>CS</v>
      </c>
      <c r="J264" s="5">
        <v>5</v>
      </c>
      <c r="K264" s="5">
        <v>0.19</v>
      </c>
      <c r="L264">
        <f t="shared" ref="L264" si="558">IFERROR(IF(K264*J264=0,"0",K264*J264),0)</f>
        <v>0.95</v>
      </c>
      <c r="M264" s="5">
        <v>0</v>
      </c>
      <c r="N264" t="str">
        <f t="shared" ref="N264" si="559">IF(M264*J264=0,"0",M264*J264)</f>
        <v>0</v>
      </c>
      <c r="O264" s="5">
        <v>1</v>
      </c>
      <c r="P264" s="5">
        <v>0</v>
      </c>
      <c r="Q264" s="5">
        <f t="shared" ref="Q264" si="560">P264*O264</f>
        <v>0</v>
      </c>
      <c r="R264" s="6">
        <f t="shared" ref="R264" si="561">IFERROR(Q264+N264+L264,"")</f>
        <v>0.95</v>
      </c>
    </row>
    <row r="265" spans="1:18" x14ac:dyDescent="0.25">
      <c r="A265" t="s">
        <v>27</v>
      </c>
      <c r="B265" t="str">
        <f t="shared" ref="B265" si="562">IF($G264="","Hide","Show")</f>
        <v>Show</v>
      </c>
      <c r="H265" t="str">
        <f>"12-6 oz"</f>
        <v>12-6 oz</v>
      </c>
    </row>
    <row r="266" spans="1:18" x14ac:dyDescent="0.25">
      <c r="A266" t="s">
        <v>27</v>
      </c>
      <c r="B266" t="str">
        <f t="shared" si="507"/>
        <v>Show</v>
      </c>
      <c r="E266" s="1"/>
      <c r="F266" t="str">
        <f>"""Ceres4"",""TCP-LIVE"",""27"",""1"",""601775"""</f>
        <v>"Ceres4","TCP-LIVE","27","1","601775"</v>
      </c>
      <c r="G266" t="str">
        <f>"601775"</f>
        <v>601775</v>
      </c>
      <c r="H266" t="str">
        <f>"Snack - Granola Bar Oat and Honey"</f>
        <v>Snack - Granola Bar Oat and Honey</v>
      </c>
      <c r="I266" s="5" t="str">
        <f>"CS"</f>
        <v>CS</v>
      </c>
      <c r="J266" s="5">
        <v>6</v>
      </c>
      <c r="K266" s="5">
        <v>0.19</v>
      </c>
      <c r="L266">
        <f t="shared" ref="L266" si="563">IFERROR(IF(K266*J266=0,"0",K266*J266),0)</f>
        <v>1.1400000000000001</v>
      </c>
      <c r="M266" s="5">
        <v>0</v>
      </c>
      <c r="N266" t="str">
        <f t="shared" ref="N266" si="564">IF(M266*J266=0,"0",M266*J266)</f>
        <v>0</v>
      </c>
      <c r="O266" s="5">
        <v>1</v>
      </c>
      <c r="P266" s="5">
        <v>0</v>
      </c>
      <c r="Q266" s="5">
        <f t="shared" ref="Q266" si="565">P266*O266</f>
        <v>0</v>
      </c>
      <c r="R266" s="6">
        <f t="shared" ref="R266" si="566">IFERROR(Q266+N266+L266,"")</f>
        <v>1.1400000000000001</v>
      </c>
    </row>
    <row r="267" spans="1:18" x14ac:dyDescent="0.25">
      <c r="A267" t="s">
        <v>27</v>
      </c>
      <c r="B267" t="str">
        <f t="shared" ref="B267" si="567">IF($G266="","Hide","Show")</f>
        <v>Show</v>
      </c>
      <c r="H267" t="str">
        <f>"12-7 oz"</f>
        <v>12-7 oz</v>
      </c>
    </row>
    <row r="268" spans="1:18" x14ac:dyDescent="0.25">
      <c r="A268" t="s">
        <v>27</v>
      </c>
      <c r="B268" t="str">
        <f t="shared" ref="B268" si="568">IF($G244="","Hide","Show")</f>
        <v>Show</v>
      </c>
    </row>
    <row r="269" spans="1:18" ht="17.25" hidden="1" x14ac:dyDescent="0.3">
      <c r="A269" t="s">
        <v>27</v>
      </c>
      <c r="B269" t="str">
        <f t="shared" ref="B269" si="569">IF($G270="","Hide","Show")</f>
        <v>Hide</v>
      </c>
      <c r="C269" t="str">
        <f>"""Ceres4"",""TCP-LIVE"",""14012281"",""1"",""SOUP"""</f>
        <v>"Ceres4","TCP-LIVE","14012281","1","SOUP"</v>
      </c>
      <c r="D269" t="s">
        <v>61</v>
      </c>
      <c r="E269" s="9" t="s">
        <v>10</v>
      </c>
      <c r="F269" s="2"/>
      <c r="G269" s="8" t="s">
        <v>68</v>
      </c>
    </row>
    <row r="270" spans="1:18" hidden="1" x14ac:dyDescent="0.25">
      <c r="A270" t="s">
        <v>27</v>
      </c>
      <c r="B270" t="str">
        <f t="shared" ref="B270" si="570">IF($G270="","Hide","Show")</f>
        <v>Hide</v>
      </c>
      <c r="E270" s="1"/>
      <c r="F270" t="s">
        <v>28</v>
      </c>
      <c r="G270" t="s">
        <v>28</v>
      </c>
      <c r="H270" t="s">
        <v>28</v>
      </c>
      <c r="I270" s="5" t="s">
        <v>28</v>
      </c>
      <c r="J270" s="5" t="s">
        <v>28</v>
      </c>
      <c r="K270" s="5" t="s">
        <v>71</v>
      </c>
      <c r="L270">
        <f t="shared" ref="L270" si="571">IFERROR(IF(K270*J270=0,"0",K270*J270),0)</f>
        <v>0</v>
      </c>
      <c r="M270" s="5" t="s">
        <v>28</v>
      </c>
      <c r="N270" t="e">
        <f t="shared" ref="N270" si="572">IF(M270*J270=0,"0",M270*J270)</f>
        <v>#VALUE!</v>
      </c>
      <c r="O270" s="5" t="s">
        <v>28</v>
      </c>
      <c r="P270" s="5" t="s">
        <v>28</v>
      </c>
      <c r="Q270" s="5" t="e">
        <f t="shared" ref="Q270" si="573">P270*O270</f>
        <v>#VALUE!</v>
      </c>
      <c r="R270" s="6" t="str">
        <f t="shared" ref="R270" si="574">IFERROR(Q270+N270+L270,"")</f>
        <v/>
      </c>
    </row>
    <row r="271" spans="1:18" hidden="1" x14ac:dyDescent="0.25">
      <c r="A271" t="s">
        <v>27</v>
      </c>
      <c r="B271" t="str">
        <f t="shared" ref="B271" si="575">IF($G270="","Hide","Show")</f>
        <v>Hide</v>
      </c>
      <c r="H271" t="s">
        <v>28</v>
      </c>
    </row>
    <row r="272" spans="1:18" hidden="1" x14ac:dyDescent="0.25">
      <c r="A272" t="s">
        <v>27</v>
      </c>
      <c r="B272" t="str">
        <f t="shared" ref="B272" si="576">IF($G270="","Hide","Show")</f>
        <v>Hide</v>
      </c>
    </row>
  </sheetData>
  <mergeCells count="4">
    <mergeCell ref="C4:R4"/>
    <mergeCell ref="G6:H6"/>
    <mergeCell ref="G8:H8"/>
    <mergeCell ref="C3:R3"/>
  </mergeCells>
  <printOptions gridLines="1"/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2" workbookViewId="0"/>
  </sheetViews>
  <sheetFormatPr defaultRowHeight="15" x14ac:dyDescent="0.25"/>
  <cols>
    <col min="1" max="1" width="9.140625" hidden="1" customWidth="1"/>
  </cols>
  <sheetData>
    <row r="1" spans="1:1" hidden="1" x14ac:dyDescent="0.25">
      <c r="A1" t="s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Baldwin</dc:creator>
  <cp:lastModifiedBy>Cheif Operating</cp:lastModifiedBy>
  <cp:lastPrinted>2013-11-07T23:23:16Z</cp:lastPrinted>
  <dcterms:created xsi:type="dcterms:W3CDTF">2013-03-28T16:24:23Z</dcterms:created>
  <dcterms:modified xsi:type="dcterms:W3CDTF">2018-03-19T14:19:51Z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Design Mode Active">
    <vt:bool>false</vt:bool>
  </property>
</Properties>
</file>