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Shopping List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H26" i="2"/>
  <c r="H27" i="2"/>
  <c r="H16" i="2"/>
  <c r="I16" i="2"/>
  <c r="I18" i="2"/>
  <c r="I20" i="2"/>
  <c r="I22" i="2"/>
  <c r="I24" i="2"/>
  <c r="I26" i="2"/>
  <c r="G16" i="2"/>
  <c r="G18" i="2"/>
  <c r="B18" i="2" s="1"/>
  <c r="G20" i="2"/>
  <c r="G22" i="2"/>
  <c r="G24" i="2"/>
  <c r="B24" i="2" s="1"/>
  <c r="G26" i="2"/>
  <c r="B26" i="2" s="1"/>
  <c r="F18" i="2"/>
  <c r="F20" i="2"/>
  <c r="F22" i="2"/>
  <c r="F24" i="2"/>
  <c r="F26" i="2"/>
  <c r="Q26" i="2"/>
  <c r="N26" i="2"/>
  <c r="Q24" i="2"/>
  <c r="N24" i="2"/>
  <c r="B23" i="2"/>
  <c r="Q22" i="2"/>
  <c r="N22" i="2"/>
  <c r="B22" i="2"/>
  <c r="B21" i="2"/>
  <c r="Q20" i="2"/>
  <c r="N20" i="2"/>
  <c r="B20" i="2"/>
  <c r="Q18" i="2"/>
  <c r="N18" i="2"/>
  <c r="F32" i="2"/>
  <c r="F34" i="2"/>
  <c r="B19" i="2" l="1"/>
  <c r="B25" i="2"/>
  <c r="B27" i="2"/>
  <c r="L32" i="2"/>
  <c r="Q32" i="2"/>
  <c r="B35" i="2"/>
  <c r="B34" i="2"/>
  <c r="L34" i="2"/>
  <c r="N34" i="2"/>
  <c r="L20" i="2"/>
  <c r="R20" i="2" s="1"/>
  <c r="L24" i="2"/>
  <c r="B32" i="2"/>
  <c r="B33" i="2"/>
  <c r="N32" i="2"/>
  <c r="Q34" i="2"/>
  <c r="R34" i="2" s="1"/>
  <c r="L18" i="2"/>
  <c r="L22" i="2"/>
  <c r="L26" i="2"/>
  <c r="R18" i="2"/>
  <c r="R22" i="2"/>
  <c r="R26" i="2"/>
  <c r="R24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42" i="2"/>
  <c r="I42" i="2"/>
  <c r="I44" i="2"/>
  <c r="I46" i="2"/>
  <c r="I48" i="2"/>
  <c r="I50" i="2"/>
  <c r="I52" i="2"/>
  <c r="I54" i="2"/>
  <c r="I56" i="2"/>
  <c r="I58" i="2"/>
  <c r="G42" i="2"/>
  <c r="G44" i="2"/>
  <c r="G46" i="2"/>
  <c r="G48" i="2"/>
  <c r="G50" i="2"/>
  <c r="G52" i="2"/>
  <c r="G54" i="2"/>
  <c r="G56" i="2"/>
  <c r="G58" i="2"/>
  <c r="R32" i="2" l="1"/>
  <c r="F44" i="2"/>
  <c r="F46" i="2"/>
  <c r="F48" i="2"/>
  <c r="F50" i="2"/>
  <c r="F52" i="2"/>
  <c r="F54" i="2"/>
  <c r="F56" i="2"/>
  <c r="F58" i="2"/>
  <c r="B59" i="2"/>
  <c r="Q58" i="2"/>
  <c r="N58" i="2"/>
  <c r="B58" i="2"/>
  <c r="B57" i="2"/>
  <c r="Q56" i="2"/>
  <c r="N56" i="2"/>
  <c r="B56" i="2"/>
  <c r="B55" i="2"/>
  <c r="Q54" i="2"/>
  <c r="N54" i="2"/>
  <c r="B54" i="2"/>
  <c r="B53" i="2"/>
  <c r="Q52" i="2"/>
  <c r="N52" i="2"/>
  <c r="B52" i="2"/>
  <c r="B51" i="2"/>
  <c r="Q50" i="2"/>
  <c r="N50" i="2"/>
  <c r="B50" i="2"/>
  <c r="B49" i="2"/>
  <c r="Q48" i="2"/>
  <c r="N48" i="2"/>
  <c r="B48" i="2"/>
  <c r="B47" i="2"/>
  <c r="Q46" i="2"/>
  <c r="N46" i="2"/>
  <c r="B46" i="2"/>
  <c r="B45" i="2"/>
  <c r="Q44" i="2"/>
  <c r="N44" i="2"/>
  <c r="B44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62" i="2"/>
  <c r="I62" i="2"/>
  <c r="I64" i="2"/>
  <c r="I66" i="2"/>
  <c r="I68" i="2"/>
  <c r="I70" i="2"/>
  <c r="I72" i="2"/>
  <c r="I74" i="2"/>
  <c r="I76" i="2"/>
  <c r="I78" i="2"/>
  <c r="I80" i="2"/>
  <c r="I82" i="2"/>
  <c r="I84" i="2"/>
  <c r="I86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L44" i="2" l="1"/>
  <c r="L48" i="2"/>
  <c r="L52" i="2"/>
  <c r="L56" i="2"/>
  <c r="L46" i="2"/>
  <c r="R46" i="2" s="1"/>
  <c r="L50" i="2"/>
  <c r="R50" i="2" s="1"/>
  <c r="L54" i="2"/>
  <c r="R54" i="2" s="1"/>
  <c r="L58" i="2"/>
  <c r="R44" i="2"/>
  <c r="R48" i="2"/>
  <c r="R52" i="2"/>
  <c r="R58" i="2"/>
  <c r="R56" i="2"/>
  <c r="F64" i="2"/>
  <c r="F66" i="2"/>
  <c r="F68" i="2"/>
  <c r="F70" i="2"/>
  <c r="F72" i="2"/>
  <c r="F74" i="2"/>
  <c r="F76" i="2"/>
  <c r="F78" i="2"/>
  <c r="F80" i="2"/>
  <c r="F82" i="2"/>
  <c r="F84" i="2"/>
  <c r="F86" i="2"/>
  <c r="B87" i="2"/>
  <c r="Q86" i="2"/>
  <c r="N86" i="2"/>
  <c r="B86" i="2"/>
  <c r="B85" i="2"/>
  <c r="Q84" i="2"/>
  <c r="N84" i="2"/>
  <c r="B84" i="2"/>
  <c r="B83" i="2"/>
  <c r="Q82" i="2"/>
  <c r="N82" i="2"/>
  <c r="B82" i="2"/>
  <c r="B81" i="2"/>
  <c r="Q80" i="2"/>
  <c r="N80" i="2"/>
  <c r="B80" i="2"/>
  <c r="B79" i="2"/>
  <c r="Q78" i="2"/>
  <c r="N78" i="2"/>
  <c r="B78" i="2"/>
  <c r="B77" i="2"/>
  <c r="Q76" i="2"/>
  <c r="N76" i="2"/>
  <c r="B76" i="2"/>
  <c r="B75" i="2"/>
  <c r="Q74" i="2"/>
  <c r="N74" i="2"/>
  <c r="B74" i="2"/>
  <c r="B73" i="2"/>
  <c r="Q72" i="2"/>
  <c r="N72" i="2"/>
  <c r="B72" i="2"/>
  <c r="B71" i="2"/>
  <c r="Q70" i="2"/>
  <c r="N70" i="2"/>
  <c r="B70" i="2"/>
  <c r="B69" i="2"/>
  <c r="Q68" i="2"/>
  <c r="N68" i="2"/>
  <c r="B68" i="2"/>
  <c r="B67" i="2"/>
  <c r="Q66" i="2"/>
  <c r="N66" i="2"/>
  <c r="B66" i="2"/>
  <c r="B65" i="2"/>
  <c r="Q64" i="2"/>
  <c r="N64" i="2"/>
  <c r="B64" i="2"/>
  <c r="F92" i="2"/>
  <c r="F94" i="2"/>
  <c r="B92" i="2" l="1"/>
  <c r="B93" i="2"/>
  <c r="L92" i="2"/>
  <c r="Q92" i="2"/>
  <c r="B95" i="2"/>
  <c r="B94" i="2"/>
  <c r="L94" i="2"/>
  <c r="N94" i="2"/>
  <c r="L66" i="2"/>
  <c r="R66" i="2" s="1"/>
  <c r="L70" i="2"/>
  <c r="L74" i="2"/>
  <c r="L78" i="2"/>
  <c r="L82" i="2"/>
  <c r="R82" i="2" s="1"/>
  <c r="L86" i="2"/>
  <c r="N92" i="2"/>
  <c r="Q94" i="2"/>
  <c r="L64" i="2"/>
  <c r="R64" i="2" s="1"/>
  <c r="L68" i="2"/>
  <c r="L72" i="2"/>
  <c r="R72" i="2" s="1"/>
  <c r="L76" i="2"/>
  <c r="L80" i="2"/>
  <c r="R80" i="2" s="1"/>
  <c r="L84" i="2"/>
  <c r="R76" i="2"/>
  <c r="R84" i="2"/>
  <c r="R70" i="2"/>
  <c r="R74" i="2"/>
  <c r="R78" i="2"/>
  <c r="R86" i="2"/>
  <c r="R68" i="2"/>
  <c r="F100" i="2"/>
  <c r="F102" i="2"/>
  <c r="L100" i="2" l="1"/>
  <c r="Q100" i="2"/>
  <c r="B102" i="2"/>
  <c r="B103" i="2"/>
  <c r="L102" i="2"/>
  <c r="N102" i="2"/>
  <c r="B101" i="2"/>
  <c r="B100" i="2"/>
  <c r="N100" i="2"/>
  <c r="Q102" i="2"/>
  <c r="R94" i="2"/>
  <c r="R92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10" i="2"/>
  <c r="I110" i="2"/>
  <c r="I112" i="2"/>
  <c r="I114" i="2"/>
  <c r="I116" i="2"/>
  <c r="I118" i="2"/>
  <c r="I120" i="2"/>
  <c r="I122" i="2"/>
  <c r="I124" i="2"/>
  <c r="I126" i="2"/>
  <c r="G110" i="2"/>
  <c r="G112" i="2"/>
  <c r="G114" i="2"/>
  <c r="G116" i="2"/>
  <c r="G118" i="2"/>
  <c r="G120" i="2"/>
  <c r="G122" i="2"/>
  <c r="G124" i="2"/>
  <c r="G126" i="2"/>
  <c r="R102" i="2" l="1"/>
  <c r="R100" i="2"/>
  <c r="F112" i="2"/>
  <c r="F114" i="2"/>
  <c r="F116" i="2"/>
  <c r="F118" i="2"/>
  <c r="F120" i="2"/>
  <c r="F122" i="2"/>
  <c r="F124" i="2"/>
  <c r="F126" i="2"/>
  <c r="B127" i="2"/>
  <c r="Q126" i="2"/>
  <c r="N126" i="2"/>
  <c r="B126" i="2"/>
  <c r="B125" i="2"/>
  <c r="Q124" i="2"/>
  <c r="N124" i="2"/>
  <c r="B124" i="2"/>
  <c r="B123" i="2"/>
  <c r="Q122" i="2"/>
  <c r="N122" i="2"/>
  <c r="B122" i="2"/>
  <c r="B121" i="2"/>
  <c r="Q120" i="2"/>
  <c r="N120" i="2"/>
  <c r="B120" i="2"/>
  <c r="B119" i="2"/>
  <c r="Q118" i="2"/>
  <c r="N118" i="2"/>
  <c r="B118" i="2"/>
  <c r="B117" i="2"/>
  <c r="Q116" i="2"/>
  <c r="N116" i="2"/>
  <c r="B116" i="2"/>
  <c r="B115" i="2"/>
  <c r="Q114" i="2"/>
  <c r="N114" i="2"/>
  <c r="B114" i="2"/>
  <c r="B113" i="2"/>
  <c r="Q112" i="2"/>
  <c r="N112" i="2"/>
  <c r="B112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30" i="2"/>
  <c r="I130" i="2"/>
  <c r="I132" i="2"/>
  <c r="I134" i="2"/>
  <c r="I136" i="2"/>
  <c r="I138" i="2"/>
  <c r="I140" i="2"/>
  <c r="I142" i="2"/>
  <c r="I144" i="2"/>
  <c r="I146" i="2"/>
  <c r="I148" i="2"/>
  <c r="I150" i="2"/>
  <c r="I152" i="2"/>
  <c r="G130" i="2"/>
  <c r="G132" i="2"/>
  <c r="G134" i="2"/>
  <c r="G136" i="2"/>
  <c r="G138" i="2"/>
  <c r="G140" i="2"/>
  <c r="G142" i="2"/>
  <c r="G144" i="2"/>
  <c r="G146" i="2"/>
  <c r="G148" i="2"/>
  <c r="G150" i="2"/>
  <c r="G152" i="2"/>
  <c r="L114" i="2" l="1"/>
  <c r="R114" i="2" s="1"/>
  <c r="L118" i="2"/>
  <c r="L122" i="2"/>
  <c r="R122" i="2" s="1"/>
  <c r="L126" i="2"/>
  <c r="L112" i="2"/>
  <c r="R112" i="2" s="1"/>
  <c r="L116" i="2"/>
  <c r="L120" i="2"/>
  <c r="R120" i="2" s="1"/>
  <c r="L124" i="2"/>
  <c r="R116" i="2"/>
  <c r="R124" i="2"/>
  <c r="R118" i="2"/>
  <c r="R126" i="2"/>
  <c r="F132" i="2"/>
  <c r="F134" i="2"/>
  <c r="F136" i="2"/>
  <c r="F138" i="2"/>
  <c r="F140" i="2"/>
  <c r="F142" i="2"/>
  <c r="F144" i="2"/>
  <c r="F146" i="2"/>
  <c r="F148" i="2"/>
  <c r="F150" i="2"/>
  <c r="F152" i="2"/>
  <c r="B153" i="2"/>
  <c r="Q152" i="2"/>
  <c r="N152" i="2"/>
  <c r="B152" i="2"/>
  <c r="B151" i="2"/>
  <c r="Q150" i="2"/>
  <c r="N150" i="2"/>
  <c r="B150" i="2"/>
  <c r="B149" i="2"/>
  <c r="Q148" i="2"/>
  <c r="N148" i="2"/>
  <c r="B148" i="2"/>
  <c r="B147" i="2"/>
  <c r="Q146" i="2"/>
  <c r="N146" i="2"/>
  <c r="B146" i="2"/>
  <c r="B145" i="2"/>
  <c r="Q144" i="2"/>
  <c r="N144" i="2"/>
  <c r="B144" i="2"/>
  <c r="B143" i="2"/>
  <c r="Q142" i="2"/>
  <c r="N142" i="2"/>
  <c r="B142" i="2"/>
  <c r="B141" i="2"/>
  <c r="Q140" i="2"/>
  <c r="N140" i="2"/>
  <c r="B140" i="2"/>
  <c r="B139" i="2"/>
  <c r="Q138" i="2"/>
  <c r="N138" i="2"/>
  <c r="B138" i="2"/>
  <c r="B137" i="2"/>
  <c r="Q136" i="2"/>
  <c r="N136" i="2"/>
  <c r="B136" i="2"/>
  <c r="B135" i="2"/>
  <c r="Q134" i="2"/>
  <c r="N134" i="2"/>
  <c r="B134" i="2"/>
  <c r="B133" i="2"/>
  <c r="Q132" i="2"/>
  <c r="N132" i="2"/>
  <c r="B132" i="2"/>
  <c r="L134" i="2" l="1"/>
  <c r="L138" i="2"/>
  <c r="L142" i="2"/>
  <c r="L146" i="2"/>
  <c r="L150" i="2"/>
  <c r="L132" i="2"/>
  <c r="L136" i="2"/>
  <c r="L140" i="2"/>
  <c r="L144" i="2"/>
  <c r="R144" i="2" s="1"/>
  <c r="L148" i="2"/>
  <c r="R148" i="2" s="1"/>
  <c r="L152" i="2"/>
  <c r="R152" i="2" s="1"/>
  <c r="R132" i="2"/>
  <c r="R140" i="2"/>
  <c r="R134" i="2"/>
  <c r="R138" i="2"/>
  <c r="R142" i="2"/>
  <c r="R146" i="2"/>
  <c r="R150" i="2"/>
  <c r="R136" i="2"/>
  <c r="F166" i="2"/>
  <c r="B167" i="2" l="1"/>
  <c r="B166" i="2"/>
  <c r="L166" i="2"/>
  <c r="N166" i="2"/>
  <c r="Q166" i="2"/>
  <c r="R166" i="2" s="1"/>
  <c r="F196" i="2"/>
  <c r="F198" i="2"/>
  <c r="F200" i="2"/>
  <c r="N198" i="2" l="1"/>
  <c r="Q200" i="2"/>
  <c r="B197" i="2"/>
  <c r="B196" i="2"/>
  <c r="L196" i="2"/>
  <c r="N196" i="2"/>
  <c r="Q198" i="2"/>
  <c r="B201" i="2"/>
  <c r="B200" i="2"/>
  <c r="L200" i="2"/>
  <c r="N200" i="2"/>
  <c r="Q196" i="2"/>
  <c r="B198" i="2"/>
  <c r="B199" i="2"/>
  <c r="L198" i="2"/>
  <c r="F206" i="2"/>
  <c r="Q206" i="2" l="1"/>
  <c r="B207" i="2"/>
  <c r="B206" i="2"/>
  <c r="L206" i="2"/>
  <c r="N206" i="2"/>
  <c r="R196" i="2"/>
  <c r="R200" i="2"/>
  <c r="R198" i="2"/>
  <c r="F216" i="2"/>
  <c r="Q216" i="2" l="1"/>
  <c r="B217" i="2"/>
  <c r="B216" i="2"/>
  <c r="L216" i="2"/>
  <c r="N216" i="2"/>
  <c r="R206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28" i="2"/>
  <c r="I228" i="2"/>
  <c r="I230" i="2"/>
  <c r="I232" i="2"/>
  <c r="I234" i="2"/>
  <c r="I236" i="2"/>
  <c r="I238" i="2"/>
  <c r="I240" i="2"/>
  <c r="I242" i="2"/>
  <c r="I244" i="2"/>
  <c r="I246" i="2"/>
  <c r="I248" i="2"/>
  <c r="I250" i="2"/>
  <c r="I252" i="2"/>
  <c r="I254" i="2"/>
  <c r="I256" i="2"/>
  <c r="I258" i="2"/>
  <c r="I260" i="2"/>
  <c r="I262" i="2"/>
  <c r="I264" i="2"/>
  <c r="I266" i="2"/>
  <c r="I268" i="2"/>
  <c r="I270" i="2"/>
  <c r="I272" i="2"/>
  <c r="I274" i="2"/>
  <c r="I276" i="2"/>
  <c r="I278" i="2"/>
  <c r="I280" i="2"/>
  <c r="I282" i="2"/>
  <c r="I284" i="2"/>
  <c r="I286" i="2"/>
  <c r="I288" i="2"/>
  <c r="I290" i="2"/>
  <c r="I292" i="2"/>
  <c r="I294" i="2"/>
  <c r="I296" i="2"/>
  <c r="G228" i="2"/>
  <c r="G230" i="2"/>
  <c r="G232" i="2"/>
  <c r="G234" i="2"/>
  <c r="G236" i="2"/>
  <c r="G238" i="2"/>
  <c r="G240" i="2"/>
  <c r="G242" i="2"/>
  <c r="G244" i="2"/>
  <c r="G246" i="2"/>
  <c r="G248" i="2"/>
  <c r="G250" i="2"/>
  <c r="G252" i="2"/>
  <c r="G254" i="2"/>
  <c r="G256" i="2"/>
  <c r="G258" i="2"/>
  <c r="G260" i="2"/>
  <c r="G262" i="2"/>
  <c r="G264" i="2"/>
  <c r="G266" i="2"/>
  <c r="G268" i="2"/>
  <c r="G270" i="2"/>
  <c r="G272" i="2"/>
  <c r="G274" i="2"/>
  <c r="G276" i="2"/>
  <c r="G278" i="2"/>
  <c r="G280" i="2"/>
  <c r="G282" i="2"/>
  <c r="G284" i="2"/>
  <c r="G286" i="2"/>
  <c r="G288" i="2"/>
  <c r="G290" i="2"/>
  <c r="G292" i="2"/>
  <c r="G294" i="2"/>
  <c r="G296" i="2"/>
  <c r="R216" i="2" l="1"/>
  <c r="F230" i="2"/>
  <c r="F232" i="2"/>
  <c r="F234" i="2"/>
  <c r="F236" i="2"/>
  <c r="F238" i="2"/>
  <c r="F240" i="2"/>
  <c r="F242" i="2"/>
  <c r="F244" i="2"/>
  <c r="F246" i="2"/>
  <c r="F248" i="2"/>
  <c r="F250" i="2"/>
  <c r="F252" i="2"/>
  <c r="F254" i="2"/>
  <c r="F256" i="2"/>
  <c r="F258" i="2"/>
  <c r="F260" i="2"/>
  <c r="F262" i="2"/>
  <c r="F264" i="2"/>
  <c r="F266" i="2"/>
  <c r="F268" i="2"/>
  <c r="F270" i="2"/>
  <c r="F272" i="2"/>
  <c r="F274" i="2"/>
  <c r="F276" i="2"/>
  <c r="F278" i="2"/>
  <c r="F280" i="2"/>
  <c r="F282" i="2"/>
  <c r="F284" i="2"/>
  <c r="F286" i="2"/>
  <c r="F288" i="2"/>
  <c r="F290" i="2"/>
  <c r="F292" i="2"/>
  <c r="F294" i="2"/>
  <c r="F296" i="2"/>
  <c r="B297" i="2"/>
  <c r="Q296" i="2"/>
  <c r="N296" i="2"/>
  <c r="B296" i="2"/>
  <c r="B295" i="2"/>
  <c r="Q294" i="2"/>
  <c r="N294" i="2"/>
  <c r="B294" i="2"/>
  <c r="B293" i="2"/>
  <c r="Q292" i="2"/>
  <c r="N292" i="2"/>
  <c r="B292" i="2"/>
  <c r="B291" i="2"/>
  <c r="Q290" i="2"/>
  <c r="N290" i="2"/>
  <c r="B290" i="2"/>
  <c r="B289" i="2"/>
  <c r="Q288" i="2"/>
  <c r="N288" i="2"/>
  <c r="B288" i="2"/>
  <c r="B287" i="2"/>
  <c r="Q286" i="2"/>
  <c r="N286" i="2"/>
  <c r="B286" i="2"/>
  <c r="B285" i="2"/>
  <c r="Q284" i="2"/>
  <c r="N284" i="2"/>
  <c r="B284" i="2"/>
  <c r="B283" i="2"/>
  <c r="Q282" i="2"/>
  <c r="N282" i="2"/>
  <c r="B282" i="2"/>
  <c r="B281" i="2"/>
  <c r="Q280" i="2"/>
  <c r="N280" i="2"/>
  <c r="B280" i="2"/>
  <c r="B279" i="2"/>
  <c r="Q278" i="2"/>
  <c r="N278" i="2"/>
  <c r="B278" i="2"/>
  <c r="B277" i="2"/>
  <c r="Q276" i="2"/>
  <c r="N276" i="2"/>
  <c r="B276" i="2"/>
  <c r="B275" i="2"/>
  <c r="Q274" i="2"/>
  <c r="N274" i="2"/>
  <c r="B274" i="2"/>
  <c r="B273" i="2"/>
  <c r="Q272" i="2"/>
  <c r="N272" i="2"/>
  <c r="B272" i="2"/>
  <c r="B271" i="2"/>
  <c r="Q270" i="2"/>
  <c r="N270" i="2"/>
  <c r="B270" i="2"/>
  <c r="B269" i="2"/>
  <c r="Q268" i="2"/>
  <c r="N268" i="2"/>
  <c r="B268" i="2"/>
  <c r="B267" i="2"/>
  <c r="Q266" i="2"/>
  <c r="N266" i="2"/>
  <c r="B266" i="2"/>
  <c r="B265" i="2"/>
  <c r="Q264" i="2"/>
  <c r="N264" i="2"/>
  <c r="B264" i="2"/>
  <c r="B263" i="2"/>
  <c r="Q262" i="2"/>
  <c r="N262" i="2"/>
  <c r="B262" i="2"/>
  <c r="B261" i="2"/>
  <c r="Q260" i="2"/>
  <c r="N260" i="2"/>
  <c r="B260" i="2"/>
  <c r="B259" i="2"/>
  <c r="Q258" i="2"/>
  <c r="N258" i="2"/>
  <c r="B258" i="2"/>
  <c r="B257" i="2"/>
  <c r="Q256" i="2"/>
  <c r="N256" i="2"/>
  <c r="B256" i="2"/>
  <c r="B255" i="2"/>
  <c r="Q254" i="2"/>
  <c r="N254" i="2"/>
  <c r="B254" i="2"/>
  <c r="B253" i="2"/>
  <c r="Q252" i="2"/>
  <c r="N252" i="2"/>
  <c r="B252" i="2"/>
  <c r="B251" i="2"/>
  <c r="Q250" i="2"/>
  <c r="N250" i="2"/>
  <c r="B250" i="2"/>
  <c r="B249" i="2"/>
  <c r="Q248" i="2"/>
  <c r="N248" i="2"/>
  <c r="B248" i="2"/>
  <c r="B247" i="2"/>
  <c r="Q246" i="2"/>
  <c r="N246" i="2"/>
  <c r="B246" i="2"/>
  <c r="B245" i="2"/>
  <c r="Q244" i="2"/>
  <c r="N244" i="2"/>
  <c r="B244" i="2"/>
  <c r="B243" i="2"/>
  <c r="Q242" i="2"/>
  <c r="N242" i="2"/>
  <c r="B242" i="2"/>
  <c r="B241" i="2"/>
  <c r="Q240" i="2"/>
  <c r="N240" i="2"/>
  <c r="B240" i="2"/>
  <c r="B239" i="2"/>
  <c r="Q238" i="2"/>
  <c r="N238" i="2"/>
  <c r="B238" i="2"/>
  <c r="B237" i="2"/>
  <c r="Q236" i="2"/>
  <c r="N236" i="2"/>
  <c r="B236" i="2"/>
  <c r="B235" i="2"/>
  <c r="Q234" i="2"/>
  <c r="N234" i="2"/>
  <c r="B234" i="2"/>
  <c r="B233" i="2"/>
  <c r="Q232" i="2"/>
  <c r="N232" i="2"/>
  <c r="B232" i="2"/>
  <c r="B231" i="2"/>
  <c r="Q230" i="2"/>
  <c r="N230" i="2"/>
  <c r="B230" i="2"/>
  <c r="F302" i="2"/>
  <c r="F304" i="2"/>
  <c r="N304" i="2" l="1"/>
  <c r="L240" i="2"/>
  <c r="L248" i="2"/>
  <c r="B302" i="2"/>
  <c r="B303" i="2"/>
  <c r="L302" i="2"/>
  <c r="N302" i="2"/>
  <c r="Q304" i="2"/>
  <c r="L230" i="2"/>
  <c r="L234" i="2"/>
  <c r="L238" i="2"/>
  <c r="L242" i="2"/>
  <c r="L246" i="2"/>
  <c r="L250" i="2"/>
  <c r="L254" i="2"/>
  <c r="L258" i="2"/>
  <c r="L262" i="2"/>
  <c r="L266" i="2"/>
  <c r="L270" i="2"/>
  <c r="L274" i="2"/>
  <c r="L278" i="2"/>
  <c r="L282" i="2"/>
  <c r="L286" i="2"/>
  <c r="L290" i="2"/>
  <c r="L294" i="2"/>
  <c r="Q302" i="2"/>
  <c r="R302" i="2" s="1"/>
  <c r="B304" i="2"/>
  <c r="B305" i="2"/>
  <c r="L304" i="2"/>
  <c r="L232" i="2"/>
  <c r="L236" i="2"/>
  <c r="L244" i="2"/>
  <c r="L252" i="2"/>
  <c r="R252" i="2" s="1"/>
  <c r="L256" i="2"/>
  <c r="R256" i="2" s="1"/>
  <c r="L260" i="2"/>
  <c r="L264" i="2"/>
  <c r="L268" i="2"/>
  <c r="R268" i="2" s="1"/>
  <c r="L272" i="2"/>
  <c r="R272" i="2" s="1"/>
  <c r="L276" i="2"/>
  <c r="L280" i="2"/>
  <c r="L284" i="2"/>
  <c r="R284" i="2" s="1"/>
  <c r="L288" i="2"/>
  <c r="R288" i="2" s="1"/>
  <c r="L292" i="2"/>
  <c r="L296" i="2"/>
  <c r="R230" i="2"/>
  <c r="R234" i="2"/>
  <c r="R238" i="2"/>
  <c r="R242" i="2"/>
  <c r="R246" i="2"/>
  <c r="R250" i="2"/>
  <c r="R254" i="2"/>
  <c r="R258" i="2"/>
  <c r="R262" i="2"/>
  <c r="R266" i="2"/>
  <c r="R270" i="2"/>
  <c r="R274" i="2"/>
  <c r="R278" i="2"/>
  <c r="R282" i="2"/>
  <c r="R286" i="2"/>
  <c r="R290" i="2"/>
  <c r="R294" i="2"/>
  <c r="R232" i="2"/>
  <c r="R236" i="2"/>
  <c r="R240" i="2"/>
  <c r="R244" i="2"/>
  <c r="R248" i="2"/>
  <c r="R260" i="2"/>
  <c r="R264" i="2"/>
  <c r="R276" i="2"/>
  <c r="R280" i="2"/>
  <c r="R292" i="2"/>
  <c r="R29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16" i="2"/>
  <c r="I316" i="2"/>
  <c r="I318" i="2"/>
  <c r="I320" i="2"/>
  <c r="I322" i="2"/>
  <c r="I324" i="2"/>
  <c r="I326" i="2"/>
  <c r="I328" i="2"/>
  <c r="G316" i="2"/>
  <c r="G318" i="2"/>
  <c r="G320" i="2"/>
  <c r="G322" i="2"/>
  <c r="G324" i="2"/>
  <c r="G326" i="2"/>
  <c r="G328" i="2"/>
  <c r="R304" i="2" l="1"/>
  <c r="F318" i="2"/>
  <c r="F320" i="2"/>
  <c r="F322" i="2"/>
  <c r="F324" i="2"/>
  <c r="F326" i="2"/>
  <c r="F328" i="2"/>
  <c r="B329" i="2"/>
  <c r="Q328" i="2"/>
  <c r="N328" i="2"/>
  <c r="B328" i="2"/>
  <c r="B327" i="2"/>
  <c r="Q326" i="2"/>
  <c r="N326" i="2"/>
  <c r="B326" i="2"/>
  <c r="B325" i="2"/>
  <c r="Q324" i="2"/>
  <c r="N324" i="2"/>
  <c r="B324" i="2"/>
  <c r="B323" i="2"/>
  <c r="Q322" i="2"/>
  <c r="N322" i="2"/>
  <c r="B322" i="2"/>
  <c r="B321" i="2"/>
  <c r="Q320" i="2"/>
  <c r="N320" i="2"/>
  <c r="B320" i="2"/>
  <c r="B319" i="2"/>
  <c r="Q318" i="2"/>
  <c r="N318" i="2"/>
  <c r="B318" i="2"/>
  <c r="L320" i="2" l="1"/>
  <c r="R320" i="2" s="1"/>
  <c r="L318" i="2"/>
  <c r="L322" i="2"/>
  <c r="L326" i="2"/>
  <c r="L324" i="2"/>
  <c r="R324" i="2" s="1"/>
  <c r="L328" i="2"/>
  <c r="R328" i="2" s="1"/>
  <c r="R318" i="2"/>
  <c r="R322" i="2"/>
  <c r="R326" i="2"/>
  <c r="C15" i="2"/>
  <c r="C29" i="2"/>
  <c r="C37" i="2"/>
  <c r="C41" i="2"/>
  <c r="C61" i="2"/>
  <c r="C89" i="2"/>
  <c r="C97" i="2"/>
  <c r="C105" i="2"/>
  <c r="C109" i="2"/>
  <c r="C129" i="2"/>
  <c r="C155" i="2"/>
  <c r="C159" i="2"/>
  <c r="C163" i="2"/>
  <c r="C169" i="2"/>
  <c r="C173" i="2"/>
  <c r="C177" i="2"/>
  <c r="C181" i="2"/>
  <c r="C185" i="2"/>
  <c r="C189" i="2"/>
  <c r="C193" i="2"/>
  <c r="C203" i="2"/>
  <c r="C209" i="2"/>
  <c r="C213" i="2"/>
  <c r="C219" i="2"/>
  <c r="C223" i="2"/>
  <c r="C227" i="2"/>
  <c r="C299" i="2"/>
  <c r="C307" i="2"/>
  <c r="C311" i="2"/>
  <c r="C315" i="2"/>
  <c r="C331" i="2"/>
  <c r="B11" i="2" l="1"/>
  <c r="Q316" i="2" l="1"/>
  <c r="N316" i="2"/>
  <c r="L316" i="2"/>
  <c r="B315" i="2"/>
  <c r="B330" i="2"/>
  <c r="B317" i="2"/>
  <c r="B316" i="2"/>
  <c r="Q308" i="2"/>
  <c r="N308" i="2"/>
  <c r="L308" i="2"/>
  <c r="B307" i="2"/>
  <c r="B310" i="2"/>
  <c r="B309" i="2"/>
  <c r="B308" i="2"/>
  <c r="Q228" i="2"/>
  <c r="N228" i="2"/>
  <c r="L228" i="2"/>
  <c r="B227" i="2"/>
  <c r="B298" i="2"/>
  <c r="B229" i="2"/>
  <c r="B228" i="2"/>
  <c r="Q220" i="2"/>
  <c r="N220" i="2"/>
  <c r="L220" i="2"/>
  <c r="B219" i="2"/>
  <c r="B222" i="2"/>
  <c r="B221" i="2"/>
  <c r="B220" i="2"/>
  <c r="Q210" i="2"/>
  <c r="N210" i="2"/>
  <c r="L210" i="2"/>
  <c r="B209" i="2"/>
  <c r="B212" i="2"/>
  <c r="B211" i="2"/>
  <c r="B210" i="2"/>
  <c r="Q194" i="2"/>
  <c r="N194" i="2"/>
  <c r="L194" i="2"/>
  <c r="B193" i="2"/>
  <c r="B202" i="2"/>
  <c r="B195" i="2"/>
  <c r="B194" i="2"/>
  <c r="Q186" i="2"/>
  <c r="N186" i="2"/>
  <c r="L186" i="2"/>
  <c r="B185" i="2"/>
  <c r="B188" i="2"/>
  <c r="B187" i="2"/>
  <c r="B186" i="2"/>
  <c r="Q178" i="2"/>
  <c r="N178" i="2"/>
  <c r="L178" i="2"/>
  <c r="B177" i="2"/>
  <c r="B180" i="2"/>
  <c r="B179" i="2"/>
  <c r="B178" i="2"/>
  <c r="Q170" i="2"/>
  <c r="N170" i="2"/>
  <c r="L170" i="2"/>
  <c r="B169" i="2"/>
  <c r="B172" i="2"/>
  <c r="B171" i="2"/>
  <c r="B170" i="2"/>
  <c r="Q160" i="2"/>
  <c r="N160" i="2"/>
  <c r="L160" i="2"/>
  <c r="B159" i="2"/>
  <c r="B162" i="2"/>
  <c r="B161" i="2"/>
  <c r="B160" i="2"/>
  <c r="N106" i="2"/>
  <c r="L106" i="2"/>
  <c r="B108" i="2"/>
  <c r="B107" i="2"/>
  <c r="B106" i="2"/>
  <c r="B105" i="2"/>
  <c r="Q106" i="2"/>
  <c r="N90" i="2"/>
  <c r="L90" i="2"/>
  <c r="B96" i="2"/>
  <c r="B91" i="2"/>
  <c r="B90" i="2"/>
  <c r="B89" i="2"/>
  <c r="Q90" i="2"/>
  <c r="N42" i="2"/>
  <c r="L42" i="2"/>
  <c r="B60" i="2"/>
  <c r="B43" i="2"/>
  <c r="B42" i="2"/>
  <c r="B41" i="2"/>
  <c r="Q42" i="2"/>
  <c r="N30" i="2"/>
  <c r="L30" i="2"/>
  <c r="B36" i="2"/>
  <c r="B31" i="2"/>
  <c r="B30" i="2"/>
  <c r="B29" i="2"/>
  <c r="Q30" i="2"/>
  <c r="Q156" i="2"/>
  <c r="N156" i="2"/>
  <c r="L156" i="2"/>
  <c r="B155" i="2"/>
  <c r="B158" i="2"/>
  <c r="B157" i="2"/>
  <c r="B156" i="2"/>
  <c r="Q332" i="2"/>
  <c r="N332" i="2"/>
  <c r="L332" i="2"/>
  <c r="B331" i="2"/>
  <c r="B334" i="2"/>
  <c r="B333" i="2"/>
  <c r="B332" i="2"/>
  <c r="Q312" i="2"/>
  <c r="N312" i="2"/>
  <c r="L312" i="2"/>
  <c r="B311" i="2"/>
  <c r="B314" i="2"/>
  <c r="B313" i="2"/>
  <c r="B312" i="2"/>
  <c r="Q300" i="2"/>
  <c r="N300" i="2"/>
  <c r="L300" i="2"/>
  <c r="B299" i="2"/>
  <c r="B306" i="2"/>
  <c r="B301" i="2"/>
  <c r="B300" i="2"/>
  <c r="Q224" i="2"/>
  <c r="N224" i="2"/>
  <c r="L224" i="2"/>
  <c r="B223" i="2"/>
  <c r="B226" i="2"/>
  <c r="B225" i="2"/>
  <c r="B224" i="2"/>
  <c r="Q214" i="2"/>
  <c r="N214" i="2"/>
  <c r="L214" i="2"/>
  <c r="B213" i="2"/>
  <c r="B218" i="2"/>
  <c r="B215" i="2"/>
  <c r="B214" i="2"/>
  <c r="Q204" i="2"/>
  <c r="N204" i="2"/>
  <c r="L204" i="2"/>
  <c r="B205" i="2"/>
  <c r="B203" i="2"/>
  <c r="B208" i="2"/>
  <c r="B204" i="2"/>
  <c r="Q190" i="2"/>
  <c r="N190" i="2"/>
  <c r="L190" i="2"/>
  <c r="B189" i="2"/>
  <c r="B192" i="2"/>
  <c r="B191" i="2"/>
  <c r="B190" i="2"/>
  <c r="Q182" i="2"/>
  <c r="N182" i="2"/>
  <c r="L182" i="2"/>
  <c r="B181" i="2"/>
  <c r="B184" i="2"/>
  <c r="B183" i="2"/>
  <c r="B182" i="2"/>
  <c r="Q174" i="2"/>
  <c r="N174" i="2"/>
  <c r="L174" i="2"/>
  <c r="B173" i="2"/>
  <c r="B176" i="2"/>
  <c r="B175" i="2"/>
  <c r="B174" i="2"/>
  <c r="Q164" i="2"/>
  <c r="N164" i="2"/>
  <c r="L164" i="2"/>
  <c r="B163" i="2"/>
  <c r="B168" i="2"/>
  <c r="B165" i="2"/>
  <c r="B164" i="2"/>
  <c r="Q110" i="2"/>
  <c r="N110" i="2"/>
  <c r="B128" i="2"/>
  <c r="B110" i="2"/>
  <c r="B111" i="2"/>
  <c r="B109" i="2"/>
  <c r="L110" i="2"/>
  <c r="N98" i="2"/>
  <c r="L98" i="2"/>
  <c r="B104" i="2"/>
  <c r="B99" i="2"/>
  <c r="B98" i="2"/>
  <c r="B97" i="2"/>
  <c r="Q98" i="2"/>
  <c r="N62" i="2"/>
  <c r="L62" i="2"/>
  <c r="B88" i="2"/>
  <c r="B63" i="2"/>
  <c r="B62" i="2"/>
  <c r="B61" i="2"/>
  <c r="Q62" i="2"/>
  <c r="N38" i="2"/>
  <c r="L38" i="2"/>
  <c r="B40" i="2"/>
  <c r="B39" i="2"/>
  <c r="B38" i="2"/>
  <c r="B37" i="2"/>
  <c r="Q38" i="2"/>
  <c r="N16" i="2"/>
  <c r="L16" i="2"/>
  <c r="B28" i="2"/>
  <c r="B17" i="2"/>
  <c r="B16" i="2"/>
  <c r="B15" i="2"/>
  <c r="Q16" i="2"/>
  <c r="Q130" i="2"/>
  <c r="N130" i="2"/>
  <c r="L130" i="2"/>
  <c r="B129" i="2"/>
  <c r="B154" i="2"/>
  <c r="B130" i="2"/>
  <c r="B131" i="2"/>
  <c r="B12" i="2"/>
  <c r="R38" i="2" l="1"/>
  <c r="R98" i="2"/>
  <c r="R42" i="2"/>
  <c r="R106" i="2"/>
  <c r="R16" i="2"/>
  <c r="R62" i="2"/>
  <c r="R110" i="2"/>
  <c r="R174" i="2"/>
  <c r="R190" i="2"/>
  <c r="R214" i="2"/>
  <c r="R300" i="2"/>
  <c r="R332" i="2"/>
  <c r="R30" i="2"/>
  <c r="R90" i="2"/>
  <c r="R160" i="2"/>
  <c r="R178" i="2"/>
  <c r="R194" i="2"/>
  <c r="R220" i="2"/>
  <c r="R308" i="2"/>
  <c r="R130" i="2"/>
  <c r="R164" i="2"/>
  <c r="R182" i="2"/>
  <c r="R204" i="2"/>
  <c r="R224" i="2"/>
  <c r="R312" i="2"/>
  <c r="R156" i="2"/>
  <c r="R170" i="2"/>
  <c r="R186" i="2"/>
  <c r="R210" i="2"/>
  <c r="R228" i="2"/>
  <c r="R316" i="2"/>
  <c r="L12" i="2"/>
  <c r="N12" i="2"/>
  <c r="Q12" i="2"/>
  <c r="B13" i="2"/>
  <c r="B14" i="2"/>
  <c r="R12" i="2" l="1"/>
</calcChain>
</file>

<file path=xl/sharedStrings.xml><?xml version="1.0" encoding="utf-8"?>
<sst xmlns="http://schemas.openxmlformats.org/spreadsheetml/2006/main" count="713" uniqueCount="190">
  <si>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</si>
  <si>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</si>
  <si>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</si>
  <si>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</si>
  <si>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</si>
  <si>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</si>
  <si>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</si>
  <si>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</si>
  <si>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</si>
  <si>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</si>
  <si>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</si>
  <si>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</si>
  <si>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</si>
  <si>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</si>
  <si>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</si>
  <si>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</si>
  <si>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</si>
  <si>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</si>
  <si>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</si>
  <si>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</si>
  <si>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</si>
  <si>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</si>
  <si>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</si>
  <si>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</si>
  <si>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</si>
  <si>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</si>
  <si>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</si>
  <si>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Date:____________________</t>
  </si>
  <si>
    <t>Auto</t>
  </si>
  <si>
    <t/>
  </si>
  <si>
    <t>"Ceres4","TCP-LIVE","14012281","1","BABY"</t>
  </si>
  <si>
    <t>BABY</t>
  </si>
  <si>
    <t>BAKERY</t>
  </si>
  <si>
    <t>BEVERAGE</t>
  </si>
  <si>
    <t>BREAD</t>
  </si>
  <si>
    <t>CEREAL/BRK</t>
  </si>
  <si>
    <t>CONDIMENT</t>
  </si>
  <si>
    <t>DAIRY</t>
  </si>
  <si>
    <t>DESSERT</t>
  </si>
  <si>
    <t>DRESSING</t>
  </si>
  <si>
    <t>ENTREE</t>
  </si>
  <si>
    <t>FRUIT/ VEG</t>
  </si>
  <si>
    <t>GRAIN</t>
  </si>
  <si>
    <t>HOUSE PAP</t>
  </si>
  <si>
    <t>HOUSE/SAN</t>
  </si>
  <si>
    <t>JUICE</t>
  </si>
  <si>
    <t>MIXED/ASST</t>
  </si>
  <si>
    <t>NF</t>
  </si>
  <si>
    <t>NONDAIRY</t>
  </si>
  <si>
    <t>NUTRITION</t>
  </si>
  <si>
    <t>OTC</t>
  </si>
  <si>
    <t>PASTA</t>
  </si>
  <si>
    <t>PASTRY</t>
  </si>
  <si>
    <t>PER PAP</t>
  </si>
  <si>
    <t>PERSONAL</t>
  </si>
  <si>
    <t>PET</t>
  </si>
  <si>
    <t>PRODUCE</t>
  </si>
  <si>
    <t>PRO-MEAT</t>
  </si>
  <si>
    <t>PRO-NON</t>
  </si>
  <si>
    <t>RICE</t>
  </si>
  <si>
    <t>SALVAGE</t>
  </si>
  <si>
    <t>SNACK</t>
  </si>
  <si>
    <t>SOUP</t>
  </si>
  <si>
    <t>Protein - Non-Meat Products</t>
  </si>
  <si>
    <t>P490035</t>
  </si>
  <si>
    <t>P490038</t>
  </si>
  <si>
    <t>P490041</t>
  </si>
  <si>
    <t>Rice</t>
  </si>
  <si>
    <t>Sorted or Unsorted Salvage Products</t>
  </si>
  <si>
    <t>Snack Products</t>
  </si>
  <si>
    <t>Soup Products</t>
  </si>
  <si>
    <t>EA</t>
  </si>
  <si>
    <t>CS</t>
  </si>
  <si>
    <t>0</t>
  </si>
  <si>
    <t>Protein - Pinto Brcho Seasoned Beans</t>
  </si>
  <si>
    <t>1-7 lb  can</t>
  </si>
  <si>
    <t>Protein - Refried Beans</t>
  </si>
  <si>
    <t>24-15 oz</t>
  </si>
  <si>
    <t>Protein - Baked Beans</t>
  </si>
  <si>
    <t>24-16 oz</t>
  </si>
  <si>
    <t>"Ceres4","TCP-LIVE","27","1","600053"</t>
  </si>
  <si>
    <t>"Ceres4","TCP-LIVE","27","1","P490035"</t>
  </si>
  <si>
    <t>Grain-based Products</t>
  </si>
  <si>
    <t>Household Paper &amp; Plastic Items</t>
  </si>
  <si>
    <t>P950036</t>
  </si>
  <si>
    <t>Household and Sanitation Products</t>
  </si>
  <si>
    <t>P950012</t>
  </si>
  <si>
    <t>P997003</t>
  </si>
  <si>
    <t>Juices</t>
  </si>
  <si>
    <t>Mixed and Assorted Food Products</t>
  </si>
  <si>
    <t>059953</t>
  </si>
  <si>
    <t>Non-Food Items and Products</t>
  </si>
  <si>
    <t>Non-Dairy Food Item</t>
  </si>
  <si>
    <t>Nutritional Aid Products</t>
  </si>
  <si>
    <t>OTC Pharmaceuticals</t>
  </si>
  <si>
    <t>Pasta Products</t>
  </si>
  <si>
    <t>P650000</t>
  </si>
  <si>
    <t>P650007</t>
  </si>
  <si>
    <t>P650012</t>
  </si>
  <si>
    <t>P650029</t>
  </si>
  <si>
    <t>Pastry Products</t>
  </si>
  <si>
    <t>550034</t>
  </si>
  <si>
    <t>550066</t>
  </si>
  <si>
    <t>Personal Paper Products</t>
  </si>
  <si>
    <t>Personal Care Products</t>
  </si>
  <si>
    <t>P970001</t>
  </si>
  <si>
    <t>P997001</t>
  </si>
  <si>
    <t>Pet Foods</t>
  </si>
  <si>
    <t>Produce - Fresh</t>
  </si>
  <si>
    <t>Protein - Meat Products</t>
  </si>
  <si>
    <t>BAG</t>
  </si>
  <si>
    <t>TO</t>
  </si>
  <si>
    <t>Household - Cutlery Forks</t>
  </si>
  <si>
    <t>24- 24 ct</t>
  </si>
  <si>
    <t>Household-Ri-Pac Lawn and Leaf Bags</t>
  </si>
  <si>
    <t>24-5 ct.</t>
  </si>
  <si>
    <t>Personal Care - X Large Diapers</t>
  </si>
  <si>
    <t>4-44 ct</t>
  </si>
  <si>
    <t>Dry Goods - Assorted Mixed</t>
  </si>
  <si>
    <t>Bulk 700 lbs.</t>
  </si>
  <si>
    <t>Pasta-Pasta Macaroni &amp; Cheese Mix</t>
  </si>
  <si>
    <t>24-7 oz</t>
  </si>
  <si>
    <t>Pasta - Spaghetti</t>
  </si>
  <si>
    <t>12-32 oz</t>
  </si>
  <si>
    <t>Pasta - Elbow Macaroni</t>
  </si>
  <si>
    <t>Pasta - Fettuccini</t>
  </si>
  <si>
    <t>Pastry - Variety Loaves</t>
  </si>
  <si>
    <t>12-41 oz</t>
  </si>
  <si>
    <t>Pastries - Toaster Cinnamon Apple Pop Tart</t>
  </si>
  <si>
    <t>6-9 oz</t>
  </si>
  <si>
    <t>Personal-Health Surely Smooth Shampoo</t>
  </si>
  <si>
    <t>12/13 oz</t>
  </si>
  <si>
    <t>Personal-Health Medium Diapers</t>
  </si>
  <si>
    <t>4-50ct</t>
  </si>
  <si>
    <t>"Ceres4","TCP-LIVE","27","1","400094"</t>
  </si>
  <si>
    <t>"Ceres4","TCP-LIVE","27","1","P970001"</t>
  </si>
  <si>
    <t>"Ceres4","TCP-LIVE","27","1","550034"</t>
  </si>
  <si>
    <t>"Ceres4","TCP-LIVE","27","1","059953"</t>
  </si>
  <si>
    <t>"Ceres4","TCP-LIVE","27","1","P650000"</t>
  </si>
  <si>
    <t>"Ceres4","TCP-LIVE","27","1","P950036"</t>
  </si>
  <si>
    <t>"Ceres4","TCP-LIVE","27","1","P950012"</t>
  </si>
  <si>
    <t>Fruit and Vegetable Products</t>
  </si>
  <si>
    <t>"Ceres4","TCP-LIVE","27","1","P250051"</t>
  </si>
  <si>
    <t>Dairy Products</t>
  </si>
  <si>
    <t>P169997</t>
  </si>
  <si>
    <t>P169998</t>
  </si>
  <si>
    <t>P169999</t>
  </si>
  <si>
    <t>Dessert Products</t>
  </si>
  <si>
    <t>580010</t>
  </si>
  <si>
    <t>580076</t>
  </si>
  <si>
    <t>P599998</t>
  </si>
  <si>
    <t>Dressing Products</t>
  </si>
  <si>
    <t>Entrees and Main Dish Items</t>
  </si>
  <si>
    <t>Dairy - Monterey Jack and Cheddar Cheese</t>
  </si>
  <si>
    <t>1-5 lb bag</t>
  </si>
  <si>
    <t>Dairy - Sliced Cheese</t>
  </si>
  <si>
    <t>1-5 lb</t>
  </si>
  <si>
    <t>Dairy - Shredded Cheddar Cheese</t>
  </si>
  <si>
    <t>1 - 5 lb bag</t>
  </si>
  <si>
    <t>Dessert - Pudding Chocolate</t>
  </si>
  <si>
    <t>48-4 oz</t>
  </si>
  <si>
    <t xml:space="preserve">Dessert - Vanilla Pudding </t>
  </si>
  <si>
    <t>48-3 oz</t>
  </si>
  <si>
    <t>Dessert - Fried Ice Cream</t>
  </si>
  <si>
    <t>36- 5 oz</t>
  </si>
  <si>
    <t>"Ceres4","TCP-LIVE","27","1","250004"</t>
  </si>
  <si>
    <t>"Ceres4","TCP-LIVE","27","1","580010"</t>
  </si>
  <si>
    <t>"Ceres4","TCP-LIVE","27","1","P169997"</t>
  </si>
  <si>
    <t>Condiment Products</t>
  </si>
  <si>
    <t>"Ceres4","TCP-LIVE","27","1","120040"</t>
  </si>
  <si>
    <t>Beverages</t>
  </si>
  <si>
    <t>P029907</t>
  </si>
  <si>
    <t>P029991</t>
  </si>
  <si>
    <t>P030007</t>
  </si>
  <si>
    <t>Bread Products</t>
  </si>
  <si>
    <t>P520006</t>
  </si>
  <si>
    <t>Cereal and Breakfast Products</t>
  </si>
  <si>
    <t>Beverage - Liter Bottle Soda</t>
  </si>
  <si>
    <t>1.5 Liter</t>
  </si>
  <si>
    <t>Beverage - Roast Coffee medium</t>
  </si>
  <si>
    <t>12-12 oz</t>
  </si>
  <si>
    <t xml:space="preserve">Beverage- Cranberry Grape </t>
  </si>
  <si>
    <t>Bakery-Corn Muffin Mix</t>
  </si>
  <si>
    <t>24-8 oz</t>
  </si>
  <si>
    <t>"Ceres4","TCP-LIVE","27","1","P520006"</t>
  </si>
  <si>
    <t>"Ceres4","TCP-LIVE","27","1","085002"</t>
  </si>
  <si>
    <t>"Ceres4","TCP-LIVE","27","1","P029907"</t>
  </si>
  <si>
    <t>Baby Foods</t>
  </si>
  <si>
    <t>Bakery Products (needs Baking or used in Baking)</t>
  </si>
  <si>
    <t>"Ceres4","TCP-LIVE","27","1","520042"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</si>
</sst>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4"/>
  <sheetViews>
    <sheetView tabSelected="1" topLeftCell="E3" workbookViewId="0">
      <selection activeCell="E10" sqref="A10:XFD13"/>
    </sheetView>
  </sheetViews>
  <sheetFormatPr defaultRowHeight="15" x14ac:dyDescent="0.25"/>
  <cols>
    <col min="1" max="4" width="9.140625" hidden="1" customWidth="1"/>
    <col min="5" max="5" width="10.7109375" bestFit="1" customWidth="1"/>
    <col min="6" max="6" width="9.140625" hidden="1" customWidth="1"/>
    <col min="7" max="7" width="10.7109375" customWidth="1"/>
    <col min="8" max="8" width="45.28515625" bestFit="1" customWidth="1"/>
    <col min="9" max="9" width="5.28515625" bestFit="1" customWidth="1"/>
    <col min="10" max="10" width="12.7109375" bestFit="1" customWidth="1"/>
    <col min="11" max="17" width="8.42578125" hidden="1" customWidth="1"/>
    <col min="18" max="18" width="15.42578125" customWidth="1"/>
    <col min="21" max="21" width="14" bestFit="1" customWidth="1"/>
  </cols>
  <sheetData>
    <row r="1" spans="1:21" hidden="1" x14ac:dyDescent="0.25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25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25" x14ac:dyDescent="0.35">
      <c r="C3" s="17" t="s">
        <v>25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23.25" x14ac:dyDescent="0.35">
      <c r="C4" s="16" t="s">
        <v>27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15.75" thickBot="1" x14ac:dyDescent="0.3"/>
    <row r="6" spans="1:21" ht="24" customHeight="1" thickBot="1" x14ac:dyDescent="0.3">
      <c r="E6" s="11" t="s">
        <v>16</v>
      </c>
      <c r="F6" s="3"/>
      <c r="G6" s="14"/>
      <c r="H6" s="15"/>
      <c r="J6" s="3"/>
      <c r="R6" s="12"/>
    </row>
    <row r="7" spans="1:21" ht="15.75" thickBot="1" x14ac:dyDescent="0.3">
      <c r="E7" s="10"/>
      <c r="F7" s="3"/>
      <c r="J7" s="3"/>
    </row>
    <row r="8" spans="1:21" ht="23.25" customHeight="1" thickBot="1" x14ac:dyDescent="0.3">
      <c r="E8" s="11" t="s">
        <v>17</v>
      </c>
      <c r="F8" s="3"/>
      <c r="G8" s="14"/>
      <c r="H8" s="15"/>
      <c r="J8" s="3"/>
      <c r="R8" s="12"/>
    </row>
    <row r="9" spans="1:21" ht="23.25" customHeight="1" x14ac:dyDescent="0.25">
      <c r="E9" s="11"/>
      <c r="F9" s="3"/>
      <c r="G9" s="13"/>
      <c r="H9" s="13"/>
      <c r="J9" s="3"/>
      <c r="R9" s="12"/>
    </row>
    <row r="10" spans="1:21" ht="46.5" customHeight="1" x14ac:dyDescent="0.25">
      <c r="E10" t="s">
        <v>6</v>
      </c>
      <c r="G10" s="4" t="s">
        <v>11</v>
      </c>
      <c r="H10" t="s">
        <v>1</v>
      </c>
      <c r="I10" s="4" t="s">
        <v>4</v>
      </c>
      <c r="J10" s="4" t="s">
        <v>12</v>
      </c>
      <c r="K10" s="4"/>
      <c r="L10" s="4"/>
      <c r="M10" s="4"/>
      <c r="N10" s="4"/>
      <c r="O10" s="4"/>
      <c r="P10" s="4"/>
      <c r="Q10" s="4"/>
      <c r="R10" s="4" t="s">
        <v>14</v>
      </c>
    </row>
    <row r="11" spans="1:21" ht="17.25" hidden="1" x14ac:dyDescent="0.3">
      <c r="B11" t="str">
        <f>IF($G12="","Hide","Show")</f>
        <v>Hide</v>
      </c>
      <c r="C11" t="s">
        <v>30</v>
      </c>
      <c r="D11" t="s">
        <v>31</v>
      </c>
      <c r="E11" s="9" t="s">
        <v>10</v>
      </c>
      <c r="F11" s="2"/>
      <c r="G11" s="8" t="s">
        <v>187</v>
      </c>
    </row>
    <row r="12" spans="1:21" hidden="1" x14ac:dyDescent="0.25">
      <c r="B12" t="str">
        <f>IF($G12="","Hide","Show")</f>
        <v>Hide</v>
      </c>
      <c r="E12" s="1"/>
      <c r="F12" t="s">
        <v>29</v>
      </c>
      <c r="G12" t="s">
        <v>29</v>
      </c>
      <c r="H12" t="s">
        <v>29</v>
      </c>
      <c r="I12" s="5" t="s">
        <v>29</v>
      </c>
      <c r="J12" s="5" t="s">
        <v>29</v>
      </c>
      <c r="K12" s="5" t="s">
        <v>73</v>
      </c>
      <c r="L12">
        <f>IFERROR(IF(K12*J12=0,"0",K12*J12),0)</f>
        <v>0</v>
      </c>
      <c r="M12" s="5" t="s">
        <v>29</v>
      </c>
      <c r="N12" t="e">
        <f>IF(M12*J12=0,"0",M12*J12)</f>
        <v>#VALUE!</v>
      </c>
      <c r="O12" s="5" t="s">
        <v>29</v>
      </c>
      <c r="P12" s="5" t="s">
        <v>29</v>
      </c>
      <c r="Q12" s="5" t="e">
        <f>P12*O12</f>
        <v>#VALUE!</v>
      </c>
      <c r="R12" s="6" t="str">
        <f>IFERROR(Q12+N12+L12,"")</f>
        <v/>
      </c>
    </row>
    <row r="13" spans="1:21" hidden="1" x14ac:dyDescent="0.25">
      <c r="B13" t="str">
        <f>IF($G12="","Hide","Show")</f>
        <v>Hide</v>
      </c>
      <c r="H13" t="s">
        <v>29</v>
      </c>
    </row>
    <row r="14" spans="1:21" hidden="1" x14ac:dyDescent="0.25">
      <c r="B14" t="str">
        <f>IF($G12="","Hide","Show")</f>
        <v>Hide</v>
      </c>
    </row>
    <row r="15" spans="1:21" ht="17.25" x14ac:dyDescent="0.3">
      <c r="A15" t="s">
        <v>28</v>
      </c>
      <c r="B15" t="str">
        <f t="shared" ref="B15" si="0">IF($G16="","Hide","Show")</f>
        <v>Show</v>
      </c>
      <c r="C15" t="str">
        <f>"""Ceres4"",""TCP-LIVE"",""14012281"",""1"",""BAKERY"""</f>
        <v>"Ceres4","TCP-LIVE","14012281","1","BAKERY"</v>
      </c>
      <c r="D15" t="s">
        <v>32</v>
      </c>
      <c r="E15" s="9" t="s">
        <v>10</v>
      </c>
      <c r="F15" s="2"/>
      <c r="G15" s="8" t="s">
        <v>188</v>
      </c>
    </row>
    <row r="16" spans="1:21" x14ac:dyDescent="0.25">
      <c r="A16" t="s">
        <v>28</v>
      </c>
      <c r="B16" t="str">
        <f t="shared" ref="B16:B26" si="1">IF($G16="","Hide","Show")</f>
        <v>Show</v>
      </c>
      <c r="E16" s="1"/>
      <c r="F16" t="s">
        <v>189</v>
      </c>
      <c r="G16" t="str">
        <f>"520042"</f>
        <v>520042</v>
      </c>
      <c r="H16" t="str">
        <f>"Baking - Keylime Cheesecake kits"</f>
        <v>Baking - Keylime Cheesecake kits</v>
      </c>
      <c r="I16" s="5" t="str">
        <f>"CS"</f>
        <v>CS</v>
      </c>
      <c r="J16" s="5">
        <v>4</v>
      </c>
      <c r="K16" s="5">
        <v>0.19</v>
      </c>
      <c r="L16">
        <f t="shared" ref="L16" si="2">IFERROR(IF(K16*J16=0,"0",K16*J16),0)</f>
        <v>0.76</v>
      </c>
      <c r="M16" s="5">
        <v>0</v>
      </c>
      <c r="N16" t="str">
        <f t="shared" ref="N16" si="3">IF(M16*J16=0,"0",M16*J16)</f>
        <v>0</v>
      </c>
      <c r="O16" s="5">
        <v>1</v>
      </c>
      <c r="P16" s="5">
        <v>0</v>
      </c>
      <c r="Q16" s="5">
        <f t="shared" ref="Q16" si="4">P16*O16</f>
        <v>0</v>
      </c>
      <c r="R16" s="6">
        <f t="shared" ref="R16" si="5">IFERROR(Q16+N16+L16,"")</f>
        <v>0.76</v>
      </c>
    </row>
    <row r="17" spans="1:18" x14ac:dyDescent="0.25">
      <c r="A17" t="s">
        <v>28</v>
      </c>
      <c r="B17" t="str">
        <f t="shared" ref="B17" si="6">IF($G16="","Hide","Show")</f>
        <v>Show</v>
      </c>
      <c r="H17" t="str">
        <f>"8-6 oz"</f>
        <v>8-6 oz</v>
      </c>
    </row>
    <row r="18" spans="1:18" x14ac:dyDescent="0.25">
      <c r="A18" t="s">
        <v>28</v>
      </c>
      <c r="B18" t="str">
        <f t="shared" si="1"/>
        <v>Show</v>
      </c>
      <c r="E18" s="1"/>
      <c r="F18" t="str">
        <f>"""Ceres4"",""TCP-LIVE"",""27"",""1"",""P520000"""</f>
        <v>"Ceres4","TCP-LIVE","27","1","P520000"</v>
      </c>
      <c r="G18" t="str">
        <f>"P520000"</f>
        <v>P520000</v>
      </c>
      <c r="H18" t="str">
        <f>"Bakery- Baking and Biscuit Mix"</f>
        <v>Bakery- Baking and Biscuit Mix</v>
      </c>
      <c r="I18" s="5" t="str">
        <f>"CS"</f>
        <v>CS</v>
      </c>
      <c r="J18" s="5">
        <v>12</v>
      </c>
      <c r="K18" s="5">
        <v>0</v>
      </c>
      <c r="L18" t="str">
        <f t="shared" ref="L18" si="7">IFERROR(IF(K18*J18=0,"0",K18*J18),0)</f>
        <v>0</v>
      </c>
      <c r="M18" s="5">
        <v>0</v>
      </c>
      <c r="N18" t="str">
        <f t="shared" ref="N18" si="8">IF(M18*J18=0,"0",M18*J18)</f>
        <v>0</v>
      </c>
      <c r="O18" s="5">
        <v>1.2</v>
      </c>
      <c r="P18" s="5">
        <v>10.73</v>
      </c>
      <c r="Q18" s="5">
        <f t="shared" ref="Q18" si="9">P18*O18</f>
        <v>12.875999999999999</v>
      </c>
      <c r="R18" s="6">
        <f t="shared" ref="R18" si="10">IFERROR(Q18+N18+L18,"")</f>
        <v>12.875999999999999</v>
      </c>
    </row>
    <row r="19" spans="1:18" x14ac:dyDescent="0.25">
      <c r="A19" t="s">
        <v>28</v>
      </c>
      <c r="B19" t="str">
        <f t="shared" ref="B19" si="11">IF($G18="","Hide","Show")</f>
        <v>Show</v>
      </c>
      <c r="H19" t="str">
        <f>"12-17 oz"</f>
        <v>12-17 oz</v>
      </c>
    </row>
    <row r="20" spans="1:18" x14ac:dyDescent="0.25">
      <c r="A20" t="s">
        <v>28</v>
      </c>
      <c r="B20" t="str">
        <f t="shared" si="1"/>
        <v>Show</v>
      </c>
      <c r="E20" s="1"/>
      <c r="F20" t="str">
        <f>"""Ceres4"",""TCP-LIVE"",""27"",""1"",""P520021"""</f>
        <v>"Ceres4","TCP-LIVE","27","1","P520021"</v>
      </c>
      <c r="G20" t="str">
        <f>"P520021"</f>
        <v>P520021</v>
      </c>
      <c r="H20" t="str">
        <f>"Baking - Fudge Brownie Mix"</f>
        <v>Baking - Fudge Brownie Mix</v>
      </c>
      <c r="I20" s="5" t="str">
        <f>"CS"</f>
        <v>CS</v>
      </c>
      <c r="J20" s="5">
        <v>9</v>
      </c>
      <c r="K20" s="5">
        <v>0</v>
      </c>
      <c r="L20" t="str">
        <f t="shared" ref="L20" si="12">IFERROR(IF(K20*J20=0,"0",K20*J20),0)</f>
        <v>0</v>
      </c>
      <c r="M20" s="5">
        <v>0</v>
      </c>
      <c r="N20" t="str">
        <f t="shared" ref="N20" si="13">IF(M20*J20=0,"0",M20*J20)</f>
        <v>0</v>
      </c>
      <c r="O20" s="5">
        <v>1.2</v>
      </c>
      <c r="P20" s="5">
        <v>11.33</v>
      </c>
      <c r="Q20" s="5">
        <f t="shared" ref="Q20" si="14">P20*O20</f>
        <v>13.596</v>
      </c>
      <c r="R20" s="6">
        <f t="shared" ref="R20" si="15">IFERROR(Q20+N20+L20,"")</f>
        <v>13.596</v>
      </c>
    </row>
    <row r="21" spans="1:18" x14ac:dyDescent="0.25">
      <c r="A21" t="s">
        <v>28</v>
      </c>
      <c r="B21" t="str">
        <f t="shared" ref="B21" si="16">IF($G20="","Hide","Show")</f>
        <v>Show</v>
      </c>
      <c r="H21" t="str">
        <f>"12-10 oz"</f>
        <v>12-10 oz</v>
      </c>
    </row>
    <row r="22" spans="1:18" x14ac:dyDescent="0.25">
      <c r="A22" t="s">
        <v>28</v>
      </c>
      <c r="B22" t="str">
        <f t="shared" si="1"/>
        <v>Show</v>
      </c>
      <c r="E22" s="1"/>
      <c r="F22" t="str">
        <f>"""Ceres4"",""TCP-LIVE"",""27"",""1"",""P520022"""</f>
        <v>"Ceres4","TCP-LIVE","27","1","P520022"</v>
      </c>
      <c r="G22" t="str">
        <f>"P520022"</f>
        <v>P520022</v>
      </c>
      <c r="H22" t="str">
        <f>"Bakery-Banana Muffin Mix"</f>
        <v>Bakery-Banana Muffin Mix</v>
      </c>
      <c r="I22" s="5" t="str">
        <f>"CS"</f>
        <v>CS</v>
      </c>
      <c r="J22" s="5">
        <v>13</v>
      </c>
      <c r="K22" s="5">
        <v>0</v>
      </c>
      <c r="L22" t="str">
        <f t="shared" ref="L22" si="17">IFERROR(IF(K22*J22=0,"0",K22*J22),0)</f>
        <v>0</v>
      </c>
      <c r="M22" s="5">
        <v>0</v>
      </c>
      <c r="N22" t="str">
        <f t="shared" ref="N22" si="18">IF(M22*J22=0,"0",M22*J22)</f>
        <v>0</v>
      </c>
      <c r="O22" s="5">
        <v>1.2</v>
      </c>
      <c r="P22" s="5">
        <v>10.25</v>
      </c>
      <c r="Q22" s="5">
        <f t="shared" ref="Q22" si="19">P22*O22</f>
        <v>12.299999999999999</v>
      </c>
      <c r="R22" s="6">
        <f t="shared" ref="R22" si="20">IFERROR(Q22+N22+L22,"")</f>
        <v>12.299999999999999</v>
      </c>
    </row>
    <row r="23" spans="1:18" x14ac:dyDescent="0.25">
      <c r="A23" t="s">
        <v>28</v>
      </c>
      <c r="B23" t="str">
        <f t="shared" ref="B23" si="21">IF($G22="","Hide","Show")</f>
        <v>Show</v>
      </c>
      <c r="H23" t="str">
        <f>"12-10 oz"</f>
        <v>12-10 oz</v>
      </c>
    </row>
    <row r="24" spans="1:18" x14ac:dyDescent="0.25">
      <c r="A24" t="s">
        <v>28</v>
      </c>
      <c r="B24" t="str">
        <f t="shared" si="1"/>
        <v>Show</v>
      </c>
      <c r="E24" s="1"/>
      <c r="F24" t="str">
        <f>"""Ceres4"",""TCP-LIVE"",""27"",""1"",""P520025"""</f>
        <v>"Ceres4","TCP-LIVE","27","1","P520025"</v>
      </c>
      <c r="G24" t="str">
        <f>"P520025"</f>
        <v>P520025</v>
      </c>
      <c r="H24" t="str">
        <f>"Bakery - Dinner Rolls"</f>
        <v>Bakery - Dinner Rolls</v>
      </c>
      <c r="I24" s="5" t="str">
        <f>"EA"</f>
        <v>EA</v>
      </c>
      <c r="J24" s="5">
        <v>1</v>
      </c>
      <c r="K24" s="5">
        <v>0</v>
      </c>
      <c r="L24" t="str">
        <f t="shared" ref="L24" si="22">IFERROR(IF(K24*J24=0,"0",K24*J24),0)</f>
        <v>0</v>
      </c>
      <c r="M24" s="5">
        <v>0</v>
      </c>
      <c r="N24" t="str">
        <f t="shared" ref="N24" si="23">IF(M24*J24=0,"0",M24*J24)</f>
        <v>0</v>
      </c>
      <c r="O24" s="5">
        <v>1.1000000000000001</v>
      </c>
      <c r="P24" s="5">
        <v>1.79</v>
      </c>
      <c r="Q24" s="5">
        <f t="shared" ref="Q24" si="24">P24*O24</f>
        <v>1.9690000000000003</v>
      </c>
      <c r="R24" s="6">
        <f t="shared" ref="R24" si="25">IFERROR(Q24+N24+L24,"")</f>
        <v>1.9690000000000003</v>
      </c>
    </row>
    <row r="25" spans="1:18" x14ac:dyDescent="0.25">
      <c r="A25" t="s">
        <v>28</v>
      </c>
      <c r="B25" t="str">
        <f t="shared" ref="B25" si="26">IF($G24="","Hide","Show")</f>
        <v>Show</v>
      </c>
      <c r="H25" t="str">
        <f>"1 - 12 pkg"</f>
        <v>1 - 12 pkg</v>
      </c>
    </row>
    <row r="26" spans="1:18" x14ac:dyDescent="0.25">
      <c r="A26" t="s">
        <v>28</v>
      </c>
      <c r="B26" t="str">
        <f t="shared" si="1"/>
        <v>Show</v>
      </c>
      <c r="E26" s="1"/>
      <c r="F26" t="str">
        <f>"""Ceres4"",""TCP-LIVE"",""27"",""1"",""P520026"""</f>
        <v>"Ceres4","TCP-LIVE","27","1","P520026"</v>
      </c>
      <c r="G26" t="str">
        <f>"P520026"</f>
        <v>P520026</v>
      </c>
      <c r="H26" t="str">
        <f>"Bakery - Pumpkin Pie"</f>
        <v>Bakery - Pumpkin Pie</v>
      </c>
      <c r="I26" s="5" t="str">
        <f>"EA"</f>
        <v>EA</v>
      </c>
      <c r="J26" s="5">
        <v>2</v>
      </c>
      <c r="K26" s="5">
        <v>0</v>
      </c>
      <c r="L26" t="str">
        <f t="shared" ref="L26" si="27">IFERROR(IF(K26*J26=0,"0",K26*J26),0)</f>
        <v>0</v>
      </c>
      <c r="M26" s="5">
        <v>0</v>
      </c>
      <c r="N26" t="str">
        <f t="shared" ref="N26" si="28">IF(M26*J26=0,"0",M26*J26)</f>
        <v>0</v>
      </c>
      <c r="O26" s="5">
        <v>1.1000000000000001</v>
      </c>
      <c r="P26" s="5">
        <v>2.5</v>
      </c>
      <c r="Q26" s="5">
        <f t="shared" ref="Q26" si="29">P26*O26</f>
        <v>2.75</v>
      </c>
      <c r="R26" s="6">
        <f t="shared" ref="R26" si="30">IFERROR(Q26+N26+L26,"")</f>
        <v>2.75</v>
      </c>
    </row>
    <row r="27" spans="1:18" x14ac:dyDescent="0.25">
      <c r="A27" t="s">
        <v>28</v>
      </c>
      <c r="B27" t="str">
        <f t="shared" ref="B27" si="31">IF($G26="","Hide","Show")</f>
        <v>Show</v>
      </c>
      <c r="H27" t="str">
        <f>"1- pie"</f>
        <v>1- pie</v>
      </c>
    </row>
    <row r="28" spans="1:18" x14ac:dyDescent="0.25">
      <c r="A28" t="s">
        <v>28</v>
      </c>
      <c r="B28" t="str">
        <f t="shared" ref="B28" si="32">IF($G16="","Hide","Show")</f>
        <v>Show</v>
      </c>
    </row>
    <row r="29" spans="1:18" ht="17.25" x14ac:dyDescent="0.3">
      <c r="A29" t="s">
        <v>28</v>
      </c>
      <c r="B29" t="str">
        <f t="shared" ref="B29" si="33">IF($G30="","Hide","Show")</f>
        <v>Show</v>
      </c>
      <c r="C29" t="str">
        <f>"""Ceres4"",""TCP-LIVE"",""14012281"",""1"",""BEVERAGE"""</f>
        <v>"Ceres4","TCP-LIVE","14012281","1","BEVERAGE"</v>
      </c>
      <c r="D29" t="s">
        <v>33</v>
      </c>
      <c r="E29" s="9" t="s">
        <v>10</v>
      </c>
      <c r="F29" s="2"/>
      <c r="G29" s="8" t="s">
        <v>170</v>
      </c>
    </row>
    <row r="30" spans="1:18" x14ac:dyDescent="0.25">
      <c r="A30" t="s">
        <v>28</v>
      </c>
      <c r="B30" t="str">
        <f t="shared" ref="B30:B34" si="34">IF($G30="","Hide","Show")</f>
        <v>Show</v>
      </c>
      <c r="E30" s="1"/>
      <c r="F30" t="s">
        <v>186</v>
      </c>
      <c r="G30" t="s">
        <v>171</v>
      </c>
      <c r="H30" t="s">
        <v>177</v>
      </c>
      <c r="I30" s="5" t="s">
        <v>71</v>
      </c>
      <c r="J30" s="5">
        <v>1</v>
      </c>
      <c r="K30" s="5">
        <v>0</v>
      </c>
      <c r="L30" t="str">
        <f t="shared" ref="L30" si="35">IFERROR(IF(K30*J30=0,"0",K30*J30),0)</f>
        <v>0</v>
      </c>
      <c r="M30" s="5">
        <v>0</v>
      </c>
      <c r="N30" t="str">
        <f t="shared" ref="N30" si="36">IF(M30*J30=0,"0",M30*J30)</f>
        <v>0</v>
      </c>
      <c r="O30" s="5">
        <v>1.05</v>
      </c>
      <c r="P30" s="5">
        <v>0.99</v>
      </c>
      <c r="Q30" s="5">
        <f t="shared" ref="Q30" si="37">P30*O30</f>
        <v>1.0395000000000001</v>
      </c>
      <c r="R30" s="6">
        <f t="shared" ref="R30" si="38">IFERROR(Q30+N30+L30,"")</f>
        <v>1.0395000000000001</v>
      </c>
    </row>
    <row r="31" spans="1:18" x14ac:dyDescent="0.25">
      <c r="A31" t="s">
        <v>28</v>
      </c>
      <c r="B31" t="str">
        <f t="shared" ref="B31" si="39">IF($G30="","Hide","Show")</f>
        <v>Show</v>
      </c>
      <c r="H31" t="s">
        <v>178</v>
      </c>
    </row>
    <row r="32" spans="1:18" x14ac:dyDescent="0.25">
      <c r="A32" t="s">
        <v>28</v>
      </c>
      <c r="B32" t="str">
        <f t="shared" si="34"/>
        <v>Show</v>
      </c>
      <c r="E32" s="1"/>
      <c r="F32" t="str">
        <f>"""Ceres4"",""TCP-LIVE"",""27"",""1"",""P029991"""</f>
        <v>"Ceres4","TCP-LIVE","27","1","P029991"</v>
      </c>
      <c r="G32" t="s">
        <v>172</v>
      </c>
      <c r="H32" t="s">
        <v>179</v>
      </c>
      <c r="I32" s="5" t="s">
        <v>72</v>
      </c>
      <c r="J32" s="5">
        <v>9</v>
      </c>
      <c r="K32" s="5">
        <v>0</v>
      </c>
      <c r="L32" t="str">
        <f t="shared" ref="L32" si="40">IFERROR(IF(K32*J32=0,"0",K32*J32),0)</f>
        <v>0</v>
      </c>
      <c r="M32" s="5">
        <v>0</v>
      </c>
      <c r="N32" t="str">
        <f t="shared" ref="N32" si="41">IF(M32*J32=0,"0",M32*J32)</f>
        <v>0</v>
      </c>
      <c r="O32" s="5">
        <v>1.1499999999999999</v>
      </c>
      <c r="P32" s="5">
        <v>24.6</v>
      </c>
      <c r="Q32" s="5">
        <f t="shared" ref="Q32" si="42">P32*O32</f>
        <v>28.29</v>
      </c>
      <c r="R32" s="6">
        <f t="shared" ref="R32" si="43">IFERROR(Q32+N32+L32,"")</f>
        <v>28.29</v>
      </c>
    </row>
    <row r="33" spans="1:18" x14ac:dyDescent="0.25">
      <c r="A33" t="s">
        <v>28</v>
      </c>
      <c r="B33" t="str">
        <f t="shared" ref="B33" si="44">IF($G32="","Hide","Show")</f>
        <v>Show</v>
      </c>
      <c r="H33" t="s">
        <v>180</v>
      </c>
    </row>
    <row r="34" spans="1:18" x14ac:dyDescent="0.25">
      <c r="A34" t="s">
        <v>28</v>
      </c>
      <c r="B34" t="str">
        <f t="shared" si="34"/>
        <v>Show</v>
      </c>
      <c r="E34" s="1"/>
      <c r="F34" t="str">
        <f>"""Ceres4"",""TCP-LIVE"",""27"",""1"",""P030007"""</f>
        <v>"Ceres4","TCP-LIVE","27","1","P030007"</v>
      </c>
      <c r="G34" t="s">
        <v>173</v>
      </c>
      <c r="H34" t="s">
        <v>181</v>
      </c>
      <c r="I34" s="5" t="s">
        <v>72</v>
      </c>
      <c r="J34" s="5">
        <v>12</v>
      </c>
      <c r="K34" s="5">
        <v>0</v>
      </c>
      <c r="L34" t="str">
        <f t="shared" ref="L34" si="45">IFERROR(IF(K34*J34=0,"0",K34*J34),0)</f>
        <v>0</v>
      </c>
      <c r="M34" s="5">
        <v>0</v>
      </c>
      <c r="N34" t="str">
        <f t="shared" ref="N34" si="46">IF(M34*J34=0,"0",M34*J34)</f>
        <v>0</v>
      </c>
      <c r="O34" s="5">
        <v>1.1399999999999999</v>
      </c>
      <c r="P34" s="5">
        <v>15.95</v>
      </c>
      <c r="Q34" s="5">
        <f t="shared" ref="Q34" si="47">P34*O34</f>
        <v>18.182999999999996</v>
      </c>
      <c r="R34" s="6">
        <f t="shared" ref="R34" si="48">IFERROR(Q34+N34+L34,"")</f>
        <v>18.182999999999996</v>
      </c>
    </row>
    <row r="35" spans="1:18" x14ac:dyDescent="0.25">
      <c r="A35" t="s">
        <v>28</v>
      </c>
      <c r="B35" t="str">
        <f t="shared" ref="B35" si="49">IF($G34="","Hide","Show")</f>
        <v>Show</v>
      </c>
      <c r="H35" t="s">
        <v>160</v>
      </c>
    </row>
    <row r="36" spans="1:18" x14ac:dyDescent="0.25">
      <c r="A36" t="s">
        <v>28</v>
      </c>
      <c r="B36" t="str">
        <f t="shared" ref="B36" si="50">IF($G30="","Hide","Show")</f>
        <v>Show</v>
      </c>
    </row>
    <row r="37" spans="1:18" ht="17.25" x14ac:dyDescent="0.3">
      <c r="A37" t="s">
        <v>28</v>
      </c>
      <c r="B37" t="str">
        <f t="shared" ref="B37" si="51">IF($G38="","Hide","Show")</f>
        <v>Show</v>
      </c>
      <c r="C37" t="str">
        <f>"""Ceres4"",""TCP-LIVE"",""14012281"",""1"",""BREAD"""</f>
        <v>"Ceres4","TCP-LIVE","14012281","1","BREAD"</v>
      </c>
      <c r="D37" t="s">
        <v>34</v>
      </c>
      <c r="E37" s="9" t="s">
        <v>10</v>
      </c>
      <c r="F37" s="2"/>
      <c r="G37" s="8" t="s">
        <v>174</v>
      </c>
    </row>
    <row r="38" spans="1:18" x14ac:dyDescent="0.25">
      <c r="A38" t="s">
        <v>28</v>
      </c>
      <c r="B38" t="str">
        <f t="shared" ref="B38" si="52">IF($G38="","Hide","Show")</f>
        <v>Show</v>
      </c>
      <c r="E38" s="1"/>
      <c r="F38" t="s">
        <v>184</v>
      </c>
      <c r="G38" t="s">
        <v>175</v>
      </c>
      <c r="H38" t="s">
        <v>182</v>
      </c>
      <c r="I38" s="5" t="s">
        <v>72</v>
      </c>
      <c r="J38" s="5">
        <v>15</v>
      </c>
      <c r="K38" s="5">
        <v>0</v>
      </c>
      <c r="L38" t="str">
        <f t="shared" ref="L38" si="53">IFERROR(IF(K38*J38=0,"0",K38*J38),0)</f>
        <v>0</v>
      </c>
      <c r="M38" s="5">
        <v>0</v>
      </c>
      <c r="N38" t="str">
        <f t="shared" ref="N38" si="54">IF(M38*J38=0,"0",M38*J38)</f>
        <v>0</v>
      </c>
      <c r="O38" s="5">
        <v>1.2</v>
      </c>
      <c r="P38" s="5">
        <v>13.78</v>
      </c>
      <c r="Q38" s="5">
        <f t="shared" ref="Q38" si="55">P38*O38</f>
        <v>16.535999999999998</v>
      </c>
      <c r="R38" s="6">
        <f t="shared" ref="R38" si="56">IFERROR(Q38+N38+L38,"")</f>
        <v>16.535999999999998</v>
      </c>
    </row>
    <row r="39" spans="1:18" x14ac:dyDescent="0.25">
      <c r="A39" t="s">
        <v>28</v>
      </c>
      <c r="B39" t="str">
        <f t="shared" ref="B39" si="57">IF($G38="","Hide","Show")</f>
        <v>Show</v>
      </c>
      <c r="H39" t="s">
        <v>183</v>
      </c>
    </row>
    <row r="40" spans="1:18" x14ac:dyDescent="0.25">
      <c r="A40" t="s">
        <v>28</v>
      </c>
      <c r="B40" t="str">
        <f t="shared" ref="B40" si="58">IF($G38="","Hide","Show")</f>
        <v>Show</v>
      </c>
    </row>
    <row r="41" spans="1:18" ht="17.25" x14ac:dyDescent="0.3">
      <c r="A41" t="s">
        <v>28</v>
      </c>
      <c r="B41" t="str">
        <f t="shared" ref="B41" si="59">IF($G42="","Hide","Show")</f>
        <v>Show</v>
      </c>
      <c r="C41" t="str">
        <f>"""Ceres4"",""TCP-LIVE"",""14012281"",""1"",""CEREAL/BRK"""</f>
        <v>"Ceres4","TCP-LIVE","14012281","1","CEREAL/BRK"</v>
      </c>
      <c r="D41" t="s">
        <v>35</v>
      </c>
      <c r="E41" s="9" t="s">
        <v>10</v>
      </c>
      <c r="F41" s="2"/>
      <c r="G41" s="8" t="s">
        <v>176</v>
      </c>
    </row>
    <row r="42" spans="1:18" x14ac:dyDescent="0.25">
      <c r="A42" t="s">
        <v>28</v>
      </c>
      <c r="B42" t="str">
        <f t="shared" ref="B42:B58" si="60">IF($G42="","Hide","Show")</f>
        <v>Show</v>
      </c>
      <c r="E42" s="1"/>
      <c r="F42" t="s">
        <v>185</v>
      </c>
      <c r="G42" t="str">
        <f>"085002"</f>
        <v>085002</v>
      </c>
      <c r="H42" t="str">
        <f>"Breakfast - Dollar Pancakes"</f>
        <v>Breakfast - Dollar Pancakes</v>
      </c>
      <c r="I42" s="5" t="str">
        <f>"CS"</f>
        <v>CS</v>
      </c>
      <c r="J42" s="5">
        <v>8</v>
      </c>
      <c r="K42" s="5">
        <v>0.19</v>
      </c>
      <c r="L42">
        <f t="shared" ref="L42" si="61">IFERROR(IF(K42*J42=0,"0",K42*J42),0)</f>
        <v>1.52</v>
      </c>
      <c r="M42" s="5">
        <v>0</v>
      </c>
      <c r="N42" t="str">
        <f t="shared" ref="N42" si="62">IF(M42*J42=0,"0",M42*J42)</f>
        <v>0</v>
      </c>
      <c r="O42" s="5">
        <v>1</v>
      </c>
      <c r="P42" s="5">
        <v>0</v>
      </c>
      <c r="Q42" s="5">
        <f t="shared" ref="Q42" si="63">P42*O42</f>
        <v>0</v>
      </c>
      <c r="R42" s="6">
        <f t="shared" ref="R42" si="64">IFERROR(Q42+N42+L42,"")</f>
        <v>1.52</v>
      </c>
    </row>
    <row r="43" spans="1:18" x14ac:dyDescent="0.25">
      <c r="A43" t="s">
        <v>28</v>
      </c>
      <c r="B43" t="str">
        <f t="shared" ref="B43" si="65">IF($G42="","Hide","Show")</f>
        <v>Show</v>
      </c>
      <c r="H43" t="str">
        <f>"6-19 oz"</f>
        <v>6-19 oz</v>
      </c>
    </row>
    <row r="44" spans="1:18" x14ac:dyDescent="0.25">
      <c r="A44" t="s">
        <v>28</v>
      </c>
      <c r="B44" t="str">
        <f t="shared" si="60"/>
        <v>Show</v>
      </c>
      <c r="E44" s="1"/>
      <c r="F44" t="str">
        <f>"""Ceres4"",""TCP-LIVE"",""27"",""1"",""085030"""</f>
        <v>"Ceres4","TCP-LIVE","27","1","085030"</v>
      </c>
      <c r="G44" t="str">
        <f>"085030"</f>
        <v>085030</v>
      </c>
      <c r="H44" t="str">
        <f>"Breakfast - Breakfast Sliders"</f>
        <v>Breakfast - Breakfast Sliders</v>
      </c>
      <c r="I44" s="5" t="str">
        <f>"CS"</f>
        <v>CS</v>
      </c>
      <c r="J44" s="5">
        <v>12</v>
      </c>
      <c r="K44" s="5">
        <v>0.19</v>
      </c>
      <c r="L44">
        <f t="shared" ref="L44" si="66">IFERROR(IF(K44*J44=0,"0",K44*J44),0)</f>
        <v>2.2800000000000002</v>
      </c>
      <c r="M44" s="5">
        <v>0</v>
      </c>
      <c r="N44" t="str">
        <f t="shared" ref="N44" si="67">IF(M44*J44=0,"0",M44*J44)</f>
        <v>0</v>
      </c>
      <c r="O44" s="5">
        <v>1</v>
      </c>
      <c r="P44" s="5">
        <v>0</v>
      </c>
      <c r="Q44" s="5">
        <f t="shared" ref="Q44" si="68">P44*O44</f>
        <v>0</v>
      </c>
      <c r="R44" s="6">
        <f t="shared" ref="R44" si="69">IFERROR(Q44+N44+L44,"")</f>
        <v>2.2800000000000002</v>
      </c>
    </row>
    <row r="45" spans="1:18" x14ac:dyDescent="0.25">
      <c r="A45" t="s">
        <v>28</v>
      </c>
      <c r="B45" t="str">
        <f t="shared" ref="B45" si="70">IF($G44="","Hide","Show")</f>
        <v>Show</v>
      </c>
      <c r="H45" t="str">
        <f>"Bulk 12 lbs"</f>
        <v>Bulk 12 lbs</v>
      </c>
    </row>
    <row r="46" spans="1:18" x14ac:dyDescent="0.25">
      <c r="A46" t="s">
        <v>28</v>
      </c>
      <c r="B46" t="str">
        <f t="shared" si="60"/>
        <v>Show</v>
      </c>
      <c r="E46" s="1"/>
      <c r="F46" t="str">
        <f>"""Ceres4"",""TCP-LIVE"",""27"",""1"",""085069"""</f>
        <v>"Ceres4","TCP-LIVE","27","1","085069"</v>
      </c>
      <c r="G46" t="str">
        <f>"085069"</f>
        <v>085069</v>
      </c>
      <c r="H46" t="str">
        <f>"Breakfast - Breakfast Pizza"</f>
        <v>Breakfast - Breakfast Pizza</v>
      </c>
      <c r="I46" s="5" t="str">
        <f>"CS"</f>
        <v>CS</v>
      </c>
      <c r="J46" s="5">
        <v>23</v>
      </c>
      <c r="K46" s="5">
        <v>0.19</v>
      </c>
      <c r="L46">
        <f t="shared" ref="L46" si="71">IFERROR(IF(K46*J46=0,"0",K46*J46),0)</f>
        <v>4.37</v>
      </c>
      <c r="M46" s="5">
        <v>0</v>
      </c>
      <c r="N46" t="str">
        <f t="shared" ref="N46" si="72">IF(M46*J46=0,"0",M46*J46)</f>
        <v>0</v>
      </c>
      <c r="O46" s="5">
        <v>1</v>
      </c>
      <c r="P46" s="5">
        <v>0</v>
      </c>
      <c r="Q46" s="5">
        <f t="shared" ref="Q46" si="73">P46*O46</f>
        <v>0</v>
      </c>
      <c r="R46" s="6">
        <f t="shared" ref="R46" si="74">IFERROR(Q46+N46+L46,"")</f>
        <v>4.37</v>
      </c>
    </row>
    <row r="47" spans="1:18" x14ac:dyDescent="0.25">
      <c r="A47" t="s">
        <v>28</v>
      </c>
      <c r="B47" t="str">
        <f t="shared" ref="B47" si="75">IF($G46="","Hide","Show")</f>
        <v>Show</v>
      </c>
      <c r="H47" t="str">
        <f>"Bulk 23 lbs"</f>
        <v>Bulk 23 lbs</v>
      </c>
    </row>
    <row r="48" spans="1:18" x14ac:dyDescent="0.25">
      <c r="A48" t="s">
        <v>28</v>
      </c>
      <c r="B48" t="str">
        <f t="shared" si="60"/>
        <v>Show</v>
      </c>
      <c r="E48" s="1"/>
      <c r="F48" t="str">
        <f>"""Ceres4"",""TCP-LIVE"",""27"",""1"",""FKP070007"""</f>
        <v>"Ceres4","TCP-LIVE","27","1","FKP070007"</v>
      </c>
      <c r="G48" t="str">
        <f>"FKP070007"</f>
        <v>FKP070007</v>
      </c>
      <c r="H48" t="str">
        <f>"Breakfast - Pop Tart Choc. Fudge"</f>
        <v>Breakfast - Pop Tart Choc. Fudge</v>
      </c>
      <c r="I48" s="5" t="str">
        <f>"CS"</f>
        <v>CS</v>
      </c>
      <c r="J48" s="5">
        <v>14</v>
      </c>
      <c r="K48" s="5">
        <v>0</v>
      </c>
      <c r="L48" t="str">
        <f t="shared" ref="L48" si="76">IFERROR(IF(K48*J48=0,"0",K48*J48),0)</f>
        <v>0</v>
      </c>
      <c r="M48" s="5">
        <v>0</v>
      </c>
      <c r="N48" t="str">
        <f t="shared" ref="N48" si="77">IF(M48*J48=0,"0",M48*J48)</f>
        <v>0</v>
      </c>
      <c r="O48" s="5">
        <v>0</v>
      </c>
      <c r="P48" s="5">
        <v>55.8</v>
      </c>
      <c r="Q48" s="5">
        <f t="shared" ref="Q48" si="78">P48*O48</f>
        <v>0</v>
      </c>
      <c r="R48" s="6">
        <f t="shared" ref="R48" si="79">IFERROR(Q48+N48+L48,"")</f>
        <v>0</v>
      </c>
    </row>
    <row r="49" spans="1:18" x14ac:dyDescent="0.25">
      <c r="A49" t="s">
        <v>28</v>
      </c>
      <c r="B49" t="str">
        <f t="shared" ref="B49" si="80">IF($G48="","Hide","Show")</f>
        <v>Show</v>
      </c>
      <c r="H49" t="str">
        <f>"120-1.76 oz"</f>
        <v>120-1.76 oz</v>
      </c>
    </row>
    <row r="50" spans="1:18" x14ac:dyDescent="0.25">
      <c r="A50" t="s">
        <v>28</v>
      </c>
      <c r="B50" t="str">
        <f t="shared" si="60"/>
        <v>Show</v>
      </c>
      <c r="E50" s="1"/>
      <c r="F50" t="str">
        <f>"""Ceres4"",""TCP-LIVE"",""27"",""1"",""P070009"""</f>
        <v>"Ceres4","TCP-LIVE","27","1","P070009"</v>
      </c>
      <c r="G50" t="str">
        <f>"P070009"</f>
        <v>P070009</v>
      </c>
      <c r="H50" t="str">
        <f>"Breakfast - Whole Wheat Pancakes"</f>
        <v>Breakfast - Whole Wheat Pancakes</v>
      </c>
      <c r="I50" s="5" t="str">
        <f>"EA"</f>
        <v>EA</v>
      </c>
      <c r="J50" s="5">
        <v>1</v>
      </c>
      <c r="K50" s="5">
        <v>0</v>
      </c>
      <c r="L50" t="str">
        <f t="shared" ref="L50" si="81">IFERROR(IF(K50*J50=0,"0",K50*J50),0)</f>
        <v>0</v>
      </c>
      <c r="M50" s="5">
        <v>0</v>
      </c>
      <c r="N50" t="str">
        <f t="shared" ref="N50" si="82">IF(M50*J50=0,"0",M50*J50)</f>
        <v>0</v>
      </c>
      <c r="O50" s="5">
        <v>1.1499999999999999</v>
      </c>
      <c r="P50" s="5">
        <v>2.1053000000000002</v>
      </c>
      <c r="Q50" s="5">
        <f t="shared" ref="Q50" si="83">P50*O50</f>
        <v>2.4210950000000002</v>
      </c>
      <c r="R50" s="6">
        <f t="shared" ref="R50" si="84">IFERROR(Q50+N50+L50,"")</f>
        <v>2.4210950000000002</v>
      </c>
    </row>
    <row r="51" spans="1:18" x14ac:dyDescent="0.25">
      <c r="A51" t="s">
        <v>28</v>
      </c>
      <c r="B51" t="str">
        <f t="shared" ref="B51" si="85">IF($G50="","Hide","Show")</f>
        <v>Show</v>
      </c>
      <c r="H51" t="str">
        <f>"1pk - 12 sm cakes"</f>
        <v>1pk - 12 sm cakes</v>
      </c>
    </row>
    <row r="52" spans="1:18" x14ac:dyDescent="0.25">
      <c r="A52" t="s">
        <v>28</v>
      </c>
      <c r="B52" t="str">
        <f t="shared" si="60"/>
        <v>Show</v>
      </c>
      <c r="E52" s="1"/>
      <c r="F52" t="str">
        <f>"""Ceres4"",""TCP-LIVE"",""27"",""1"",""P070010"""</f>
        <v>"Ceres4","TCP-LIVE","27","1","P070010"</v>
      </c>
      <c r="G52" t="str">
        <f>"P070010"</f>
        <v>P070010</v>
      </c>
      <c r="H52" t="str">
        <f>"Breakfast-Pancake Mix"</f>
        <v>Breakfast-Pancake Mix</v>
      </c>
      <c r="I52" s="5" t="str">
        <f>"CS"</f>
        <v>CS</v>
      </c>
      <c r="J52" s="5">
        <v>14</v>
      </c>
      <c r="K52" s="5">
        <v>0</v>
      </c>
      <c r="L52" t="str">
        <f t="shared" ref="L52" si="86">IFERROR(IF(K52*J52=0,"0",K52*J52),0)</f>
        <v>0</v>
      </c>
      <c r="M52" s="5">
        <v>0</v>
      </c>
      <c r="N52" t="str">
        <f t="shared" ref="N52" si="87">IF(M52*J52=0,"0",M52*J52)</f>
        <v>0</v>
      </c>
      <c r="O52" s="5">
        <v>1.2</v>
      </c>
      <c r="P52" s="5">
        <v>10.73</v>
      </c>
      <c r="Q52" s="5">
        <f t="shared" ref="Q52" si="88">P52*O52</f>
        <v>12.875999999999999</v>
      </c>
      <c r="R52" s="6">
        <f t="shared" ref="R52" si="89">IFERROR(Q52+N52+L52,"")</f>
        <v>12.875999999999999</v>
      </c>
    </row>
    <row r="53" spans="1:18" x14ac:dyDescent="0.25">
      <c r="A53" t="s">
        <v>28</v>
      </c>
      <c r="B53" t="str">
        <f t="shared" ref="B53" si="90">IF($G52="","Hide","Show")</f>
        <v>Show</v>
      </c>
      <c r="H53" t="str">
        <f>"12-17 oz"</f>
        <v>12-17 oz</v>
      </c>
    </row>
    <row r="54" spans="1:18" x14ac:dyDescent="0.25">
      <c r="A54" t="s">
        <v>28</v>
      </c>
      <c r="B54" t="str">
        <f t="shared" si="60"/>
        <v>Show</v>
      </c>
      <c r="E54" s="1"/>
      <c r="F54" t="str">
        <f>"""Ceres4"",""TCP-LIVE"",""27"",""1"",""P070012"""</f>
        <v>"Ceres4","TCP-LIVE","27","1","P070012"</v>
      </c>
      <c r="G54" t="str">
        <f>"P070012"</f>
        <v>P070012</v>
      </c>
      <c r="H54" t="str">
        <f>"Breakfast - Waffles"</f>
        <v>Breakfast - Waffles</v>
      </c>
      <c r="I54" s="5" t="str">
        <f>"BAG"</f>
        <v>BAG</v>
      </c>
      <c r="J54" s="5">
        <v>2</v>
      </c>
      <c r="K54" s="5">
        <v>0</v>
      </c>
      <c r="L54" t="str">
        <f t="shared" ref="L54" si="91">IFERROR(IF(K54*J54=0,"0",K54*J54),0)</f>
        <v>0</v>
      </c>
      <c r="M54" s="5">
        <v>0</v>
      </c>
      <c r="N54" t="str">
        <f t="shared" ref="N54" si="92">IF(M54*J54=0,"0",M54*J54)</f>
        <v>0</v>
      </c>
      <c r="O54" s="5">
        <v>1.1000000000000001</v>
      </c>
      <c r="P54" s="5">
        <v>1.415</v>
      </c>
      <c r="Q54" s="5">
        <f t="shared" ref="Q54" si="93">P54*O54</f>
        <v>1.5565000000000002</v>
      </c>
      <c r="R54" s="6">
        <f t="shared" ref="R54" si="94">IFERROR(Q54+N54+L54,"")</f>
        <v>1.5565000000000002</v>
      </c>
    </row>
    <row r="55" spans="1:18" x14ac:dyDescent="0.25">
      <c r="A55" t="s">
        <v>28</v>
      </c>
      <c r="B55" t="str">
        <f t="shared" ref="B55" si="95">IF($G54="","Hide","Show")</f>
        <v>Show</v>
      </c>
      <c r="H55" t="str">
        <f>"12 - 2 oz   repack item"</f>
        <v>12 - 2 oz   repack item</v>
      </c>
    </row>
    <row r="56" spans="1:18" x14ac:dyDescent="0.25">
      <c r="A56" t="s">
        <v>28</v>
      </c>
      <c r="B56" t="str">
        <f t="shared" si="60"/>
        <v>Show</v>
      </c>
      <c r="E56" s="1"/>
      <c r="F56" t="str">
        <f>"""Ceres4"",""TCP-LIVE"",""27"",""1"",""P070013"""</f>
        <v>"Ceres4","TCP-LIVE","27","1","P070013"</v>
      </c>
      <c r="G56" t="str">
        <f>"P070013"</f>
        <v>P070013</v>
      </c>
      <c r="H56" t="str">
        <f>"Breakfast- Waffles"</f>
        <v>Breakfast- Waffles</v>
      </c>
      <c r="I56" s="5" t="str">
        <f>"EA"</f>
        <v>EA</v>
      </c>
      <c r="J56" s="5">
        <v>1</v>
      </c>
      <c r="K56" s="5">
        <v>0</v>
      </c>
      <c r="L56" t="str">
        <f t="shared" ref="L56" si="96">IFERROR(IF(K56*J56=0,"0",K56*J56),0)</f>
        <v>0</v>
      </c>
      <c r="M56" s="5">
        <v>0</v>
      </c>
      <c r="N56" t="str">
        <f t="shared" ref="N56" si="97">IF(M56*J56=0,"0",M56*J56)</f>
        <v>0</v>
      </c>
      <c r="O56" s="5">
        <v>1.2</v>
      </c>
      <c r="P56" s="5">
        <v>1.50827</v>
      </c>
      <c r="Q56" s="5">
        <f t="shared" ref="Q56" si="98">P56*O56</f>
        <v>1.8099239999999999</v>
      </c>
      <c r="R56" s="6">
        <f t="shared" ref="R56" si="99">IFERROR(Q56+N56+L56,"")</f>
        <v>1.8099239999999999</v>
      </c>
    </row>
    <row r="57" spans="1:18" x14ac:dyDescent="0.25">
      <c r="A57" t="s">
        <v>28</v>
      </c>
      <c r="B57" t="str">
        <f t="shared" ref="B57" si="100">IF($G56="","Hide","Show")</f>
        <v>Show</v>
      </c>
      <c r="H57" t="str">
        <f>"8- 1.27 oz"</f>
        <v>8- 1.27 oz</v>
      </c>
    </row>
    <row r="58" spans="1:18" x14ac:dyDescent="0.25">
      <c r="A58" t="s">
        <v>28</v>
      </c>
      <c r="B58" t="str">
        <f t="shared" si="60"/>
        <v>Show</v>
      </c>
      <c r="E58" s="1"/>
      <c r="F58" t="str">
        <f>"""Ceres4"",""TCP-LIVE"",""27"",""1"",""P070016"""</f>
        <v>"Ceres4","TCP-LIVE","27","1","P070016"</v>
      </c>
      <c r="G58" t="str">
        <f>"P070016"</f>
        <v>P070016</v>
      </c>
      <c r="H58" t="str">
        <f>"Breakfast- Maple Waffles Sticks"</f>
        <v>Breakfast- Maple Waffles Sticks</v>
      </c>
      <c r="I58" s="5" t="str">
        <f>"BAG"</f>
        <v>BAG</v>
      </c>
      <c r="J58" s="5">
        <v>4</v>
      </c>
      <c r="K58" s="5">
        <v>0</v>
      </c>
      <c r="L58" t="str">
        <f t="shared" ref="L58" si="101">IFERROR(IF(K58*J58=0,"0",K58*J58),0)</f>
        <v>0</v>
      </c>
      <c r="M58" s="5">
        <v>0</v>
      </c>
      <c r="N58" t="str">
        <f t="shared" ref="N58" si="102">IF(M58*J58=0,"0",M58*J58)</f>
        <v>0</v>
      </c>
      <c r="O58" s="5">
        <v>1.1499999999999999</v>
      </c>
      <c r="P58" s="5">
        <v>13.88</v>
      </c>
      <c r="Q58" s="5">
        <f t="shared" ref="Q58" si="103">P58*O58</f>
        <v>15.962</v>
      </c>
      <c r="R58" s="6">
        <f t="shared" ref="R58" si="104">IFERROR(Q58+N58+L58,"")</f>
        <v>15.962</v>
      </c>
    </row>
    <row r="59" spans="1:18" x14ac:dyDescent="0.25">
      <c r="A59" t="s">
        <v>28</v>
      </c>
      <c r="B59" t="str">
        <f t="shared" ref="B59" si="105">IF($G58="","Hide","Show")</f>
        <v>Show</v>
      </c>
      <c r="H59" t="str">
        <f>"24-2.4 oz"</f>
        <v>24-2.4 oz</v>
      </c>
    </row>
    <row r="60" spans="1:18" x14ac:dyDescent="0.25">
      <c r="A60" t="s">
        <v>28</v>
      </c>
      <c r="B60" t="str">
        <f t="shared" ref="B60" si="106">IF($G42="","Hide","Show")</f>
        <v>Show</v>
      </c>
    </row>
    <row r="61" spans="1:18" ht="17.25" x14ac:dyDescent="0.3">
      <c r="A61" t="s">
        <v>28</v>
      </c>
      <c r="B61" t="str">
        <f t="shared" ref="B61" si="107">IF($G62="","Hide","Show")</f>
        <v>Show</v>
      </c>
      <c r="C61" t="str">
        <f>"""Ceres4"",""TCP-LIVE"",""14012281"",""1"",""CONDIMENT"""</f>
        <v>"Ceres4","TCP-LIVE","14012281","1","CONDIMENT"</v>
      </c>
      <c r="D61" t="s">
        <v>36</v>
      </c>
      <c r="E61" s="9" t="s">
        <v>10</v>
      </c>
      <c r="F61" s="2"/>
      <c r="G61" s="8" t="s">
        <v>168</v>
      </c>
    </row>
    <row r="62" spans="1:18" x14ac:dyDescent="0.25">
      <c r="A62" t="s">
        <v>28</v>
      </c>
      <c r="B62" t="str">
        <f t="shared" ref="B62:B86" si="108">IF($G62="","Hide","Show")</f>
        <v>Show</v>
      </c>
      <c r="E62" s="1"/>
      <c r="F62" t="s">
        <v>169</v>
      </c>
      <c r="G62" t="str">
        <f>"120040"</f>
        <v>120040</v>
      </c>
      <c r="H62" t="str">
        <f>"Condiment - Sloppy Joe Sauce"</f>
        <v>Condiment - Sloppy Joe Sauce</v>
      </c>
      <c r="I62" s="5" t="str">
        <f>"CS"</f>
        <v>CS</v>
      </c>
      <c r="J62" s="5">
        <v>23</v>
      </c>
      <c r="K62" s="5">
        <v>0.19</v>
      </c>
      <c r="L62">
        <f t="shared" ref="L62" si="109">IFERROR(IF(K62*J62=0,"0",K62*J62),0)</f>
        <v>4.37</v>
      </c>
      <c r="M62" s="5">
        <v>0</v>
      </c>
      <c r="N62" t="str">
        <f t="shared" ref="N62" si="110">IF(M62*J62=0,"0",M62*J62)</f>
        <v>0</v>
      </c>
      <c r="O62" s="5">
        <v>1</v>
      </c>
      <c r="P62" s="5">
        <v>0</v>
      </c>
      <c r="Q62" s="5">
        <f t="shared" ref="Q62" si="111">P62*O62</f>
        <v>0</v>
      </c>
      <c r="R62" s="6">
        <f t="shared" ref="R62" si="112">IFERROR(Q62+N62+L62,"")</f>
        <v>4.37</v>
      </c>
    </row>
    <row r="63" spans="1:18" x14ac:dyDescent="0.25">
      <c r="A63" t="s">
        <v>28</v>
      </c>
      <c r="B63" t="str">
        <f t="shared" ref="B63" si="113">IF($G62="","Hide","Show")</f>
        <v>Show</v>
      </c>
      <c r="H63" t="str">
        <f>"24-15 oz"</f>
        <v>24-15 oz</v>
      </c>
    </row>
    <row r="64" spans="1:18" x14ac:dyDescent="0.25">
      <c r="A64" t="s">
        <v>28</v>
      </c>
      <c r="B64" t="str">
        <f t="shared" si="108"/>
        <v>Show</v>
      </c>
      <c r="E64" s="1"/>
      <c r="F64" t="str">
        <f>"""Ceres4"",""TCP-LIVE"",""27"",""1"",""120282"""</f>
        <v>"Ceres4","TCP-LIVE","27","1","120282"</v>
      </c>
      <c r="G64" t="str">
        <f>"120282"</f>
        <v>120282</v>
      </c>
      <c r="H64" t="str">
        <f>"Condiment - BBQ Sauce"</f>
        <v>Condiment - BBQ Sauce</v>
      </c>
      <c r="I64" s="5" t="str">
        <f>"CS"</f>
        <v>CS</v>
      </c>
      <c r="J64" s="5">
        <v>11</v>
      </c>
      <c r="K64" s="5">
        <v>0.19</v>
      </c>
      <c r="L64">
        <f t="shared" ref="L64" si="114">IFERROR(IF(K64*J64=0,"0",K64*J64),0)</f>
        <v>2.09</v>
      </c>
      <c r="M64" s="5">
        <v>0</v>
      </c>
      <c r="N64" t="str">
        <f t="shared" ref="N64" si="115">IF(M64*J64=0,"0",M64*J64)</f>
        <v>0</v>
      </c>
      <c r="O64" s="5">
        <v>1</v>
      </c>
      <c r="P64" s="5">
        <v>0</v>
      </c>
      <c r="Q64" s="5">
        <f t="shared" ref="Q64" si="116">P64*O64</f>
        <v>0</v>
      </c>
      <c r="R64" s="6">
        <f t="shared" ref="R64" si="117">IFERROR(Q64+N64+L64,"")</f>
        <v>2.09</v>
      </c>
    </row>
    <row r="65" spans="1:18" x14ac:dyDescent="0.25">
      <c r="A65" t="s">
        <v>28</v>
      </c>
      <c r="B65" t="str">
        <f t="shared" ref="B65" si="118">IF($G64="","Hide","Show")</f>
        <v>Show</v>
      </c>
      <c r="H65" t="str">
        <f>"204-1 oz"</f>
        <v>204-1 oz</v>
      </c>
    </row>
    <row r="66" spans="1:18" x14ac:dyDescent="0.25">
      <c r="A66" t="s">
        <v>28</v>
      </c>
      <c r="B66" t="str">
        <f t="shared" si="108"/>
        <v>Show</v>
      </c>
      <c r="E66" s="1"/>
      <c r="F66" t="str">
        <f>"""Ceres4"",""TCP-LIVE"",""27"",""1"",""139999"""</f>
        <v>"Ceres4","TCP-LIVE","27","1","139999"</v>
      </c>
      <c r="G66" t="str">
        <f>"139999"</f>
        <v>139999</v>
      </c>
      <c r="H66" t="str">
        <f>"Condiment - SueBee Honey"</f>
        <v>Condiment - SueBee Honey</v>
      </c>
      <c r="I66" s="5" t="str">
        <f>"EA"</f>
        <v>EA</v>
      </c>
      <c r="J66" s="5">
        <v>1</v>
      </c>
      <c r="K66" s="5">
        <v>0</v>
      </c>
      <c r="L66" t="str">
        <f t="shared" ref="L66" si="119">IFERROR(IF(K66*J66=0,"0",K66*J66),0)</f>
        <v>0</v>
      </c>
      <c r="M66" s="5">
        <v>6</v>
      </c>
      <c r="N66">
        <f t="shared" ref="N66" si="120">IF(M66*J66=0,"0",M66*J66)</f>
        <v>6</v>
      </c>
      <c r="O66" s="5">
        <v>1</v>
      </c>
      <c r="P66" s="5">
        <v>0</v>
      </c>
      <c r="Q66" s="5">
        <f t="shared" ref="Q66" si="121">P66*O66</f>
        <v>0</v>
      </c>
      <c r="R66" s="6">
        <f t="shared" ref="R66" si="122">IFERROR(Q66+N66+L66,"")</f>
        <v>6</v>
      </c>
    </row>
    <row r="67" spans="1:18" x14ac:dyDescent="0.25">
      <c r="A67" t="s">
        <v>28</v>
      </c>
      <c r="B67" t="str">
        <f t="shared" ref="B67" si="123">IF($G66="","Hide","Show")</f>
        <v>Show</v>
      </c>
      <c r="H67" t="str">
        <f>"3 lb container"</f>
        <v>3 lb container</v>
      </c>
    </row>
    <row r="68" spans="1:18" x14ac:dyDescent="0.25">
      <c r="A68" t="s">
        <v>28</v>
      </c>
      <c r="B68" t="str">
        <f t="shared" si="108"/>
        <v>Show</v>
      </c>
      <c r="E68" s="1"/>
      <c r="F68" t="str">
        <f>"""Ceres4"",""TCP-LIVE"",""27"",""1"",""P100000"""</f>
        <v>"Ceres4","TCP-LIVE","27","1","P100000"</v>
      </c>
      <c r="G68" t="str">
        <f>"P100000"</f>
        <v>P100000</v>
      </c>
      <c r="H68" t="str">
        <f>"Condiment - Turkey Stuffing"</f>
        <v>Condiment - Turkey Stuffing</v>
      </c>
      <c r="I68" s="5" t="str">
        <f>"EA"</f>
        <v>EA</v>
      </c>
      <c r="J68" s="5">
        <v>1</v>
      </c>
      <c r="K68" s="5">
        <v>0</v>
      </c>
      <c r="L68" t="str">
        <f t="shared" ref="L68" si="124">IFERROR(IF(K68*J68=0,"0",K68*J68),0)</f>
        <v>0</v>
      </c>
      <c r="M68" s="5">
        <v>0</v>
      </c>
      <c r="N68" t="str">
        <f t="shared" ref="N68" si="125">IF(M68*J68=0,"0",M68*J68)</f>
        <v>0</v>
      </c>
      <c r="O68" s="5">
        <v>1.2</v>
      </c>
      <c r="P68" s="5">
        <v>1.19</v>
      </c>
      <c r="Q68" s="5">
        <f t="shared" ref="Q68" si="126">P68*O68</f>
        <v>1.4279999999999999</v>
      </c>
      <c r="R68" s="6">
        <f t="shared" ref="R68" si="127">IFERROR(Q68+N68+L68,"")</f>
        <v>1.4279999999999999</v>
      </c>
    </row>
    <row r="69" spans="1:18" x14ac:dyDescent="0.25">
      <c r="A69" t="s">
        <v>28</v>
      </c>
      <c r="B69" t="str">
        <f t="shared" ref="B69" si="128">IF($G68="","Hide","Show")</f>
        <v>Show</v>
      </c>
      <c r="H69" t="str">
        <f>"1 - 16 oz "</f>
        <v xml:space="preserve">1 - 16 oz </v>
      </c>
    </row>
    <row r="70" spans="1:18" x14ac:dyDescent="0.25">
      <c r="A70" t="s">
        <v>28</v>
      </c>
      <c r="B70" t="str">
        <f t="shared" si="108"/>
        <v>Show</v>
      </c>
      <c r="E70" s="1"/>
      <c r="F70" t="str">
        <f>"""Ceres4"",""TCP-LIVE"",""27"",""1"",""P100005"""</f>
        <v>"Ceres4","TCP-LIVE","27","1","P100005"</v>
      </c>
      <c r="G70" t="str">
        <f>"P100005"</f>
        <v>P100005</v>
      </c>
      <c r="H70" t="str">
        <f>"Condiment - Whipping Cream"</f>
        <v>Condiment - Whipping Cream</v>
      </c>
      <c r="I70" s="5" t="str">
        <f>"EA"</f>
        <v>EA</v>
      </c>
      <c r="J70" s="5">
        <v>1</v>
      </c>
      <c r="K70" s="5">
        <v>0</v>
      </c>
      <c r="L70" t="str">
        <f t="shared" ref="L70" si="129">IFERROR(IF(K70*J70=0,"0",K70*J70),0)</f>
        <v>0</v>
      </c>
      <c r="M70" s="5">
        <v>0</v>
      </c>
      <c r="N70" t="str">
        <f t="shared" ref="N70" si="130">IF(M70*J70=0,"0",M70*J70)</f>
        <v>0</v>
      </c>
      <c r="O70" s="5">
        <v>1.1499999999999999</v>
      </c>
      <c r="P70" s="5">
        <v>0.89</v>
      </c>
      <c r="Q70" s="5">
        <f t="shared" ref="Q70" si="131">P70*O70</f>
        <v>1.0234999999999999</v>
      </c>
      <c r="R70" s="6">
        <f t="shared" ref="R70" si="132">IFERROR(Q70+N70+L70,"")</f>
        <v>1.0234999999999999</v>
      </c>
    </row>
    <row r="71" spans="1:18" x14ac:dyDescent="0.25">
      <c r="A71" t="s">
        <v>28</v>
      </c>
      <c r="B71" t="str">
        <f t="shared" ref="B71" si="133">IF($G70="","Hide","Show")</f>
        <v>Show</v>
      </c>
      <c r="H71" t="str">
        <f>"1 tub"</f>
        <v>1 tub</v>
      </c>
    </row>
    <row r="72" spans="1:18" x14ac:dyDescent="0.25">
      <c r="A72" t="s">
        <v>28</v>
      </c>
      <c r="B72" t="str">
        <f t="shared" si="108"/>
        <v>Show</v>
      </c>
      <c r="E72" s="1"/>
      <c r="F72" t="str">
        <f>"""Ceres4"",""TCP-LIVE"",""27"",""1"",""P120000"""</f>
        <v>"Ceres4","TCP-LIVE","27","1","P120000"</v>
      </c>
      <c r="G72" t="str">
        <f>"P120000"</f>
        <v>P120000</v>
      </c>
      <c r="H72" t="str">
        <f>"Condiment - Brown Gravy"</f>
        <v>Condiment - Brown Gravy</v>
      </c>
      <c r="I72" s="5" t="str">
        <f>"EA"</f>
        <v>EA</v>
      </c>
      <c r="J72" s="5">
        <v>1</v>
      </c>
      <c r="K72" s="5">
        <v>0</v>
      </c>
      <c r="L72" t="str">
        <f t="shared" ref="L72" si="134">IFERROR(IF(K72*J72=0,"0",K72*J72),0)</f>
        <v>0</v>
      </c>
      <c r="M72" s="5">
        <v>0</v>
      </c>
      <c r="N72" t="str">
        <f t="shared" ref="N72" si="135">IF(M72*J72=0,"0",M72*J72)</f>
        <v>0</v>
      </c>
      <c r="O72" s="5">
        <v>1.1499999999999999</v>
      </c>
      <c r="P72" s="5">
        <v>0.39</v>
      </c>
      <c r="Q72" s="5">
        <f t="shared" ref="Q72" si="136">P72*O72</f>
        <v>0.44849999999999995</v>
      </c>
      <c r="R72" s="6">
        <f t="shared" ref="R72" si="137">IFERROR(Q72+N72+L72,"")</f>
        <v>0.44849999999999995</v>
      </c>
    </row>
    <row r="73" spans="1:18" x14ac:dyDescent="0.25">
      <c r="A73" t="s">
        <v>28</v>
      </c>
      <c r="B73" t="str">
        <f t="shared" ref="B73" si="138">IF($G72="","Hide","Show")</f>
        <v>Show</v>
      </c>
      <c r="H73" t="str">
        <f>"1 pkg"</f>
        <v>1 pkg</v>
      </c>
    </row>
    <row r="74" spans="1:18" x14ac:dyDescent="0.25">
      <c r="A74" t="s">
        <v>28</v>
      </c>
      <c r="B74" t="str">
        <f t="shared" si="108"/>
        <v>Show</v>
      </c>
      <c r="E74" s="1"/>
      <c r="F74" t="str">
        <f>"""Ceres4"",""TCP-LIVE"",""27"",""1"",""P120003"""</f>
        <v>"Ceres4","TCP-LIVE","27","1","P120003"</v>
      </c>
      <c r="G74" t="str">
        <f>"P120003"</f>
        <v>P120003</v>
      </c>
      <c r="H74" t="str">
        <f>"Condiment - Turkey Stuffing Mix"</f>
        <v>Condiment - Turkey Stuffing Mix</v>
      </c>
      <c r="I74" s="5" t="str">
        <f>"CS"</f>
        <v>CS</v>
      </c>
      <c r="J74" s="5">
        <v>5</v>
      </c>
      <c r="K74" s="5">
        <v>0</v>
      </c>
      <c r="L74" t="str">
        <f t="shared" ref="L74" si="139">IFERROR(IF(K74*J74=0,"0",K74*J74),0)</f>
        <v>0</v>
      </c>
      <c r="M74" s="5">
        <v>0</v>
      </c>
      <c r="N74" t="str">
        <f t="shared" ref="N74" si="140">IF(M74*J74=0,"0",M74*J74)</f>
        <v>0</v>
      </c>
      <c r="O74" s="5">
        <v>1.2</v>
      </c>
      <c r="P74" s="5">
        <v>9.5299999999999994</v>
      </c>
      <c r="Q74" s="5">
        <f t="shared" ref="Q74" si="141">P74*O74</f>
        <v>11.435999999999998</v>
      </c>
      <c r="R74" s="6">
        <f t="shared" ref="R74" si="142">IFERROR(Q74+N74+L74,"")</f>
        <v>11.435999999999998</v>
      </c>
    </row>
    <row r="75" spans="1:18" x14ac:dyDescent="0.25">
      <c r="A75" t="s">
        <v>28</v>
      </c>
      <c r="B75" t="str">
        <f t="shared" ref="B75" si="143">IF($G74="","Hide","Show")</f>
        <v>Show</v>
      </c>
      <c r="H75" t="str">
        <f>"12-6 oz"</f>
        <v>12-6 oz</v>
      </c>
    </row>
    <row r="76" spans="1:18" x14ac:dyDescent="0.25">
      <c r="A76" t="s">
        <v>28</v>
      </c>
      <c r="B76" t="str">
        <f t="shared" si="108"/>
        <v>Show</v>
      </c>
      <c r="E76" s="1"/>
      <c r="F76" t="str">
        <f>"""Ceres4"",""TCP-LIVE"",""27"",""1"",""P120006"""</f>
        <v>"Ceres4","TCP-LIVE","27","1","P120006"</v>
      </c>
      <c r="G76" t="str">
        <f>"P120006"</f>
        <v>P120006</v>
      </c>
      <c r="H76" t="str">
        <f>"Condiment - Cranberry Sauce"</f>
        <v>Condiment - Cranberry Sauce</v>
      </c>
      <c r="I76" s="5" t="str">
        <f>"EA"</f>
        <v>EA</v>
      </c>
      <c r="J76" s="5">
        <v>1</v>
      </c>
      <c r="K76" s="5">
        <v>0</v>
      </c>
      <c r="L76" t="str">
        <f t="shared" ref="L76" si="144">IFERROR(IF(K76*J76=0,"0",K76*J76),0)</f>
        <v>0</v>
      </c>
      <c r="M76" s="5">
        <v>0</v>
      </c>
      <c r="N76" t="str">
        <f t="shared" ref="N76" si="145">IF(M76*J76=0,"0",M76*J76)</f>
        <v>0</v>
      </c>
      <c r="O76" s="5">
        <v>1.1000000000000001</v>
      </c>
      <c r="P76" s="5">
        <v>0.75451999999999997</v>
      </c>
      <c r="Q76" s="5">
        <f t="shared" ref="Q76" si="146">P76*O76</f>
        <v>0.82997200000000004</v>
      </c>
      <c r="R76" s="6">
        <f t="shared" ref="R76" si="147">IFERROR(Q76+N76+L76,"")</f>
        <v>0.82997200000000004</v>
      </c>
    </row>
    <row r="77" spans="1:18" x14ac:dyDescent="0.25">
      <c r="A77" t="s">
        <v>28</v>
      </c>
      <c r="B77" t="str">
        <f t="shared" ref="B77" si="148">IF($G76="","Hide","Show")</f>
        <v>Show</v>
      </c>
      <c r="H77" t="str">
        <f>"1-14 oz"</f>
        <v>1-14 oz</v>
      </c>
    </row>
    <row r="78" spans="1:18" x14ac:dyDescent="0.25">
      <c r="A78" t="s">
        <v>28</v>
      </c>
      <c r="B78" t="str">
        <f t="shared" si="108"/>
        <v>Show</v>
      </c>
      <c r="E78" s="1"/>
      <c r="F78" t="str">
        <f>"""Ceres4"",""TCP-LIVE"",""27"",""1"",""P120007"""</f>
        <v>"Ceres4","TCP-LIVE","27","1","P120007"</v>
      </c>
      <c r="G78" t="str">
        <f>"P120007"</f>
        <v>P120007</v>
      </c>
      <c r="H78" t="str">
        <f>"Condiment- Cranberry Sauce"</f>
        <v>Condiment- Cranberry Sauce</v>
      </c>
      <c r="I78" s="5" t="str">
        <f>"CS"</f>
        <v>CS</v>
      </c>
      <c r="J78" s="5">
        <v>21</v>
      </c>
      <c r="K78" s="5">
        <v>0</v>
      </c>
      <c r="L78" t="str">
        <f t="shared" ref="L78" si="149">IFERROR(IF(K78*J78=0,"0",K78*J78),0)</f>
        <v>0</v>
      </c>
      <c r="M78" s="5">
        <v>0</v>
      </c>
      <c r="N78" t="str">
        <f t="shared" ref="N78" si="150">IF(M78*J78=0,"0",M78*J78)</f>
        <v>0</v>
      </c>
      <c r="O78" s="5">
        <v>1.2</v>
      </c>
      <c r="P78" s="5">
        <v>30.96</v>
      </c>
      <c r="Q78" s="5">
        <f t="shared" ref="Q78" si="151">P78*O78</f>
        <v>37.152000000000001</v>
      </c>
      <c r="R78" s="6">
        <f t="shared" ref="R78" si="152">IFERROR(Q78+N78+L78,"")</f>
        <v>37.152000000000001</v>
      </c>
    </row>
    <row r="79" spans="1:18" x14ac:dyDescent="0.25">
      <c r="A79" t="s">
        <v>28</v>
      </c>
      <c r="B79" t="str">
        <f t="shared" ref="B79" si="153">IF($G78="","Hide","Show")</f>
        <v>Show</v>
      </c>
      <c r="H79" t="str">
        <f>"24-14 oz"</f>
        <v>24-14 oz</v>
      </c>
    </row>
    <row r="80" spans="1:18" x14ac:dyDescent="0.25">
      <c r="A80" t="s">
        <v>28</v>
      </c>
      <c r="B80" t="str">
        <f t="shared" si="108"/>
        <v>Show</v>
      </c>
      <c r="E80" s="1"/>
      <c r="F80" t="str">
        <f>"""Ceres4"",""TCP-LIVE"",""27"",""1"",""P120008"""</f>
        <v>"Ceres4","TCP-LIVE","27","1","P120008"</v>
      </c>
      <c r="G80" t="str">
        <f>"P120008"</f>
        <v>P120008</v>
      </c>
      <c r="H80" t="str">
        <f>"Condiment-Sauce Spaghetti"</f>
        <v>Condiment-Sauce Spaghetti</v>
      </c>
      <c r="I80" s="5" t="str">
        <f>"CS"</f>
        <v>CS</v>
      </c>
      <c r="J80" s="5">
        <v>28</v>
      </c>
      <c r="K80" s="5">
        <v>0</v>
      </c>
      <c r="L80" t="str">
        <f t="shared" ref="L80" si="154">IFERROR(IF(K80*J80=0,"0",K80*J80),0)</f>
        <v>0</v>
      </c>
      <c r="M80" s="5">
        <v>0</v>
      </c>
      <c r="N80" t="str">
        <f t="shared" ref="N80" si="155">IF(M80*J80=0,"0",M80*J80)</f>
        <v>0</v>
      </c>
      <c r="O80" s="5">
        <v>1.2</v>
      </c>
      <c r="P80" s="5">
        <v>11.39</v>
      </c>
      <c r="Q80" s="5">
        <f t="shared" ref="Q80" si="156">P80*O80</f>
        <v>13.668000000000001</v>
      </c>
      <c r="R80" s="6">
        <f t="shared" ref="R80" si="157">IFERROR(Q80+N80+L80,"")</f>
        <v>13.668000000000001</v>
      </c>
    </row>
    <row r="81" spans="1:18" x14ac:dyDescent="0.25">
      <c r="A81" t="s">
        <v>28</v>
      </c>
      <c r="B81" t="str">
        <f t="shared" ref="B81" si="158">IF($G80="","Hide","Show")</f>
        <v>Show</v>
      </c>
      <c r="H81" t="str">
        <f>"24-15 oz"</f>
        <v>24-15 oz</v>
      </c>
    </row>
    <row r="82" spans="1:18" x14ac:dyDescent="0.25">
      <c r="A82" t="s">
        <v>28</v>
      </c>
      <c r="B82" t="str">
        <f t="shared" si="108"/>
        <v>Show</v>
      </c>
      <c r="E82" s="1"/>
      <c r="F82" t="str">
        <f>"""Ceres4"",""TCP-LIVE"",""27"",""1"",""P120054"""</f>
        <v>"Ceres4","TCP-LIVE","27","1","P120054"</v>
      </c>
      <c r="G82" t="str">
        <f>"P120054"</f>
        <v>P120054</v>
      </c>
      <c r="H82" t="str">
        <f>"Condiment-Sauce Sloppy Joe"</f>
        <v>Condiment-Sauce Sloppy Joe</v>
      </c>
      <c r="I82" s="5" t="str">
        <f>"CS"</f>
        <v>CS</v>
      </c>
      <c r="J82" s="5">
        <v>23</v>
      </c>
      <c r="K82" s="5">
        <v>0</v>
      </c>
      <c r="L82" t="str">
        <f t="shared" ref="L82" si="159">IFERROR(IF(K82*J82=0,"0",K82*J82),0)</f>
        <v>0</v>
      </c>
      <c r="M82" s="5">
        <v>0</v>
      </c>
      <c r="N82" t="str">
        <f t="shared" ref="N82" si="160">IF(M82*J82=0,"0",M82*J82)</f>
        <v>0</v>
      </c>
      <c r="O82" s="5">
        <v>1.2</v>
      </c>
      <c r="P82" s="5">
        <v>16.43</v>
      </c>
      <c r="Q82" s="5">
        <f t="shared" ref="Q82" si="161">P82*O82</f>
        <v>19.715999999999998</v>
      </c>
      <c r="R82" s="6">
        <f t="shared" ref="R82" si="162">IFERROR(Q82+N82+L82,"")</f>
        <v>19.715999999999998</v>
      </c>
    </row>
    <row r="83" spans="1:18" x14ac:dyDescent="0.25">
      <c r="A83" t="s">
        <v>28</v>
      </c>
      <c r="B83" t="str">
        <f t="shared" ref="B83" si="163">IF($G82="","Hide","Show")</f>
        <v>Show</v>
      </c>
      <c r="H83" t="str">
        <f>"24-15.5 oz"</f>
        <v>24-15.5 oz</v>
      </c>
    </row>
    <row r="84" spans="1:18" x14ac:dyDescent="0.25">
      <c r="A84" t="s">
        <v>28</v>
      </c>
      <c r="B84" t="str">
        <f t="shared" si="108"/>
        <v>Show</v>
      </c>
      <c r="E84" s="1"/>
      <c r="F84" t="str">
        <f>"""Ceres4"",""TCP-LIVE"",""27"",""1"",""P130013"""</f>
        <v>"Ceres4","TCP-LIVE","27","1","P130013"</v>
      </c>
      <c r="G84" t="str">
        <f>"P130013"</f>
        <v>P130013</v>
      </c>
      <c r="H84" t="str">
        <f>"Condiment-Pancake Syrup"</f>
        <v>Condiment-Pancake Syrup</v>
      </c>
      <c r="I84" s="5" t="str">
        <f>"CS"</f>
        <v>CS</v>
      </c>
      <c r="J84" s="5">
        <v>9</v>
      </c>
      <c r="K84" s="5">
        <v>0</v>
      </c>
      <c r="L84" t="str">
        <f t="shared" ref="L84" si="164">IFERROR(IF(K84*J84=0,"0",K84*J84),0)</f>
        <v>0</v>
      </c>
      <c r="M84" s="5">
        <v>0</v>
      </c>
      <c r="N84" t="str">
        <f t="shared" ref="N84" si="165">IF(M84*J84=0,"0",M84*J84)</f>
        <v>0</v>
      </c>
      <c r="O84" s="5">
        <v>1.2</v>
      </c>
      <c r="P84" s="5">
        <v>10.73</v>
      </c>
      <c r="Q84" s="5">
        <f t="shared" ref="Q84" si="166">P84*O84</f>
        <v>12.875999999999999</v>
      </c>
      <c r="R84" s="6">
        <f t="shared" ref="R84" si="167">IFERROR(Q84+N84+L84,"")</f>
        <v>12.875999999999999</v>
      </c>
    </row>
    <row r="85" spans="1:18" x14ac:dyDescent="0.25">
      <c r="A85" t="s">
        <v>28</v>
      </c>
      <c r="B85" t="str">
        <f t="shared" ref="B85" si="168">IF($G84="","Hide","Show")</f>
        <v>Show</v>
      </c>
      <c r="H85" t="str">
        <f>"12-12 oz"</f>
        <v>12-12 oz</v>
      </c>
    </row>
    <row r="86" spans="1:18" x14ac:dyDescent="0.25">
      <c r="A86" t="s">
        <v>28</v>
      </c>
      <c r="B86" t="str">
        <f t="shared" si="108"/>
        <v>Show</v>
      </c>
      <c r="E86" s="1"/>
      <c r="F86" t="str">
        <f>"""Ceres4"",""TCP-LIVE"",""27"",""1"",""P130015"""</f>
        <v>"Ceres4","TCP-LIVE","27","1","P130015"</v>
      </c>
      <c r="G86" t="str">
        <f>"P130015"</f>
        <v>P130015</v>
      </c>
      <c r="H86" t="str">
        <f>"Condiment - Raspberry Preserve"</f>
        <v>Condiment - Raspberry Preserve</v>
      </c>
      <c r="I86" s="5" t="str">
        <f>"CS"</f>
        <v>CS</v>
      </c>
      <c r="J86" s="5">
        <v>15</v>
      </c>
      <c r="K86" s="5">
        <v>0</v>
      </c>
      <c r="L86" t="str">
        <f t="shared" ref="L86" si="169">IFERROR(IF(K86*J86=0,"0",K86*J86),0)</f>
        <v>0</v>
      </c>
      <c r="M86" s="5">
        <v>0</v>
      </c>
      <c r="N86" t="str">
        <f t="shared" ref="N86" si="170">IF(M86*J86=0,"0",M86*J86)</f>
        <v>0</v>
      </c>
      <c r="O86" s="5">
        <v>1.2</v>
      </c>
      <c r="P86" s="5">
        <v>9.5299999999999994</v>
      </c>
      <c r="Q86" s="5">
        <f t="shared" ref="Q86" si="171">P86*O86</f>
        <v>11.435999999999998</v>
      </c>
      <c r="R86" s="6">
        <f t="shared" ref="R86" si="172">IFERROR(Q86+N86+L86,"")</f>
        <v>11.435999999999998</v>
      </c>
    </row>
    <row r="87" spans="1:18" x14ac:dyDescent="0.25">
      <c r="A87" t="s">
        <v>28</v>
      </c>
      <c r="B87" t="str">
        <f t="shared" ref="B87" si="173">IF($G86="","Hide","Show")</f>
        <v>Show</v>
      </c>
      <c r="H87" t="str">
        <f>"12-13 oz"</f>
        <v>12-13 oz</v>
      </c>
    </row>
    <row r="88" spans="1:18" x14ac:dyDescent="0.25">
      <c r="A88" t="s">
        <v>28</v>
      </c>
      <c r="B88" t="str">
        <f t="shared" ref="B88" si="174">IF($G62="","Hide","Show")</f>
        <v>Show</v>
      </c>
    </row>
    <row r="89" spans="1:18" ht="17.25" x14ac:dyDescent="0.3">
      <c r="A89" t="s">
        <v>28</v>
      </c>
      <c r="B89" t="str">
        <f t="shared" ref="B89" si="175">IF($G90="","Hide","Show")</f>
        <v>Show</v>
      </c>
      <c r="C89" t="str">
        <f>"""Ceres4"",""TCP-LIVE"",""14012281"",""1"",""DAIRY"""</f>
        <v>"Ceres4","TCP-LIVE","14012281","1","DAIRY"</v>
      </c>
      <c r="D89" t="s">
        <v>37</v>
      </c>
      <c r="E89" s="9" t="s">
        <v>10</v>
      </c>
      <c r="F89" s="2"/>
      <c r="G89" s="8" t="s">
        <v>143</v>
      </c>
    </row>
    <row r="90" spans="1:18" x14ac:dyDescent="0.25">
      <c r="A90" t="s">
        <v>28</v>
      </c>
      <c r="B90" t="str">
        <f t="shared" ref="B90:B94" si="176">IF($G90="","Hide","Show")</f>
        <v>Show</v>
      </c>
      <c r="E90" s="1"/>
      <c r="F90" t="s">
        <v>167</v>
      </c>
      <c r="G90" t="s">
        <v>144</v>
      </c>
      <c r="H90" t="s">
        <v>153</v>
      </c>
      <c r="I90" s="5" t="s">
        <v>110</v>
      </c>
      <c r="J90" s="5">
        <v>5</v>
      </c>
      <c r="K90" s="5">
        <v>0</v>
      </c>
      <c r="L90" t="str">
        <f t="shared" ref="L90" si="177">IFERROR(IF(K90*J90=0,"0",K90*J90),0)</f>
        <v>0</v>
      </c>
      <c r="M90" s="5">
        <v>0</v>
      </c>
      <c r="N90" t="str">
        <f t="shared" ref="N90" si="178">IF(M90*J90=0,"0",M90*J90)</f>
        <v>0</v>
      </c>
      <c r="O90" s="5">
        <v>1.05</v>
      </c>
      <c r="P90" s="5">
        <v>12.753080000000001</v>
      </c>
      <c r="Q90" s="5">
        <f t="shared" ref="Q90" si="179">P90*O90</f>
        <v>13.390734000000002</v>
      </c>
      <c r="R90" s="6">
        <f t="shared" ref="R90" si="180">IFERROR(Q90+N90+L90,"")</f>
        <v>13.390734000000002</v>
      </c>
    </row>
    <row r="91" spans="1:18" x14ac:dyDescent="0.25">
      <c r="A91" t="s">
        <v>28</v>
      </c>
      <c r="B91" t="str">
        <f t="shared" ref="B91" si="181">IF($G90="","Hide","Show")</f>
        <v>Show</v>
      </c>
      <c r="H91" t="s">
        <v>154</v>
      </c>
    </row>
    <row r="92" spans="1:18" x14ac:dyDescent="0.25">
      <c r="A92" t="s">
        <v>28</v>
      </c>
      <c r="B92" t="str">
        <f t="shared" si="176"/>
        <v>Show</v>
      </c>
      <c r="E92" s="1"/>
      <c r="F92" t="str">
        <f>"""Ceres4"",""TCP-LIVE"",""27"",""1"",""P169998"""</f>
        <v>"Ceres4","TCP-LIVE","27","1","P169998"</v>
      </c>
      <c r="G92" t="s">
        <v>145</v>
      </c>
      <c r="H92" t="s">
        <v>155</v>
      </c>
      <c r="I92" s="5" t="s">
        <v>71</v>
      </c>
      <c r="J92" s="5">
        <v>5</v>
      </c>
      <c r="K92" s="5">
        <v>0</v>
      </c>
      <c r="L92" t="str">
        <f t="shared" ref="L92" si="182">IFERROR(IF(K92*J92=0,"0",K92*J92),0)</f>
        <v>0</v>
      </c>
      <c r="M92" s="5">
        <v>0</v>
      </c>
      <c r="N92" t="str">
        <f t="shared" ref="N92" si="183">IF(M92*J92=0,"0",M92*J92)</f>
        <v>0</v>
      </c>
      <c r="O92" s="5">
        <v>1.1000000000000001</v>
      </c>
      <c r="P92" s="5">
        <v>11.947139999999999</v>
      </c>
      <c r="Q92" s="5">
        <f t="shared" ref="Q92" si="184">P92*O92</f>
        <v>13.141854</v>
      </c>
      <c r="R92" s="6">
        <f t="shared" ref="R92" si="185">IFERROR(Q92+N92+L92,"")</f>
        <v>13.141854</v>
      </c>
    </row>
    <row r="93" spans="1:18" x14ac:dyDescent="0.25">
      <c r="A93" t="s">
        <v>28</v>
      </c>
      <c r="B93" t="str">
        <f t="shared" ref="B93" si="186">IF($G92="","Hide","Show")</f>
        <v>Show</v>
      </c>
      <c r="H93" t="s">
        <v>156</v>
      </c>
    </row>
    <row r="94" spans="1:18" x14ac:dyDescent="0.25">
      <c r="A94" t="s">
        <v>28</v>
      </c>
      <c r="B94" t="str">
        <f t="shared" si="176"/>
        <v>Show</v>
      </c>
      <c r="E94" s="1"/>
      <c r="F94" t="str">
        <f>"""Ceres4"",""TCP-LIVE"",""27"",""1"",""P169999"""</f>
        <v>"Ceres4","TCP-LIVE","27","1","P169999"</v>
      </c>
      <c r="G94" t="s">
        <v>146</v>
      </c>
      <c r="H94" t="s">
        <v>157</v>
      </c>
      <c r="I94" s="5" t="s">
        <v>110</v>
      </c>
      <c r="J94" s="5">
        <v>5</v>
      </c>
      <c r="K94" s="5">
        <v>0</v>
      </c>
      <c r="L94" t="str">
        <f t="shared" ref="L94" si="187">IFERROR(IF(K94*J94=0,"0",K94*J94),0)</f>
        <v>0</v>
      </c>
      <c r="M94" s="5">
        <v>0</v>
      </c>
      <c r="N94" t="str">
        <f t="shared" ref="N94" si="188">IF(M94*J94=0,"0",M94*J94)</f>
        <v>0</v>
      </c>
      <c r="O94" s="5">
        <v>1.1499999999999999</v>
      </c>
      <c r="P94" s="5">
        <v>13.09667</v>
      </c>
      <c r="Q94" s="5">
        <f t="shared" ref="Q94" si="189">P94*O94</f>
        <v>15.061170499999998</v>
      </c>
      <c r="R94" s="6">
        <f t="shared" ref="R94" si="190">IFERROR(Q94+N94+L94,"")</f>
        <v>15.061170499999998</v>
      </c>
    </row>
    <row r="95" spans="1:18" x14ac:dyDescent="0.25">
      <c r="A95" t="s">
        <v>28</v>
      </c>
      <c r="B95" t="str">
        <f t="shared" ref="B95" si="191">IF($G94="","Hide","Show")</f>
        <v>Show</v>
      </c>
      <c r="H95" t="s">
        <v>158</v>
      </c>
    </row>
    <row r="96" spans="1:18" x14ac:dyDescent="0.25">
      <c r="A96" t="s">
        <v>28</v>
      </c>
      <c r="B96" t="str">
        <f t="shared" ref="B96" si="192">IF($G90="","Hide","Show")</f>
        <v>Show</v>
      </c>
    </row>
    <row r="97" spans="1:18" ht="17.25" x14ac:dyDescent="0.3">
      <c r="A97" t="s">
        <v>28</v>
      </c>
      <c r="B97" t="str">
        <f t="shared" ref="B97" si="193">IF($G98="","Hide","Show")</f>
        <v>Show</v>
      </c>
      <c r="C97" t="str">
        <f>"""Ceres4"",""TCP-LIVE"",""14012281"",""1"",""DESSERT"""</f>
        <v>"Ceres4","TCP-LIVE","14012281","1","DESSERT"</v>
      </c>
      <c r="D97" t="s">
        <v>38</v>
      </c>
      <c r="E97" s="9" t="s">
        <v>10</v>
      </c>
      <c r="F97" s="2"/>
      <c r="G97" s="8" t="s">
        <v>147</v>
      </c>
    </row>
    <row r="98" spans="1:18" x14ac:dyDescent="0.25">
      <c r="A98" t="s">
        <v>28</v>
      </c>
      <c r="B98" t="str">
        <f t="shared" ref="B98:B102" si="194">IF($G98="","Hide","Show")</f>
        <v>Show</v>
      </c>
      <c r="E98" s="1"/>
      <c r="F98" t="s">
        <v>166</v>
      </c>
      <c r="G98" t="s">
        <v>148</v>
      </c>
      <c r="H98" t="s">
        <v>159</v>
      </c>
      <c r="I98" s="5" t="s">
        <v>72</v>
      </c>
      <c r="J98" s="5">
        <v>14</v>
      </c>
      <c r="K98" s="5">
        <v>0.19</v>
      </c>
      <c r="L98">
        <f t="shared" ref="L98" si="195">IFERROR(IF(K98*J98=0,"0",K98*J98),0)</f>
        <v>2.66</v>
      </c>
      <c r="M98" s="5">
        <v>0</v>
      </c>
      <c r="N98" t="str">
        <f t="shared" ref="N98" si="196">IF(M98*J98=0,"0",M98*J98)</f>
        <v>0</v>
      </c>
      <c r="O98" s="5">
        <v>1</v>
      </c>
      <c r="P98" s="5">
        <v>0</v>
      </c>
      <c r="Q98" s="5">
        <f t="shared" ref="Q98" si="197">P98*O98</f>
        <v>0</v>
      </c>
      <c r="R98" s="6">
        <f t="shared" ref="R98" si="198">IFERROR(Q98+N98+L98,"")</f>
        <v>2.66</v>
      </c>
    </row>
    <row r="99" spans="1:18" x14ac:dyDescent="0.25">
      <c r="A99" t="s">
        <v>28</v>
      </c>
      <c r="B99" t="str">
        <f t="shared" ref="B99" si="199">IF($G98="","Hide","Show")</f>
        <v>Show</v>
      </c>
      <c r="H99" t="s">
        <v>160</v>
      </c>
    </row>
    <row r="100" spans="1:18" x14ac:dyDescent="0.25">
      <c r="A100" t="s">
        <v>28</v>
      </c>
      <c r="B100" t="str">
        <f t="shared" si="194"/>
        <v>Show</v>
      </c>
      <c r="E100" s="1"/>
      <c r="F100" t="str">
        <f>"""Ceres4"",""TCP-LIVE"",""27"",""1"",""580076"""</f>
        <v>"Ceres4","TCP-LIVE","27","1","580076"</v>
      </c>
      <c r="G100" t="s">
        <v>149</v>
      </c>
      <c r="H100" t="s">
        <v>161</v>
      </c>
      <c r="I100" s="5" t="s">
        <v>72</v>
      </c>
      <c r="J100" s="5">
        <v>9</v>
      </c>
      <c r="K100" s="5">
        <v>0.19</v>
      </c>
      <c r="L100">
        <f t="shared" ref="L100" si="200">IFERROR(IF(K100*J100=0,"0",K100*J100),0)</f>
        <v>1.71</v>
      </c>
      <c r="M100" s="5">
        <v>0</v>
      </c>
      <c r="N100" t="str">
        <f t="shared" ref="N100" si="201">IF(M100*J100=0,"0",M100*J100)</f>
        <v>0</v>
      </c>
      <c r="O100" s="5">
        <v>1</v>
      </c>
      <c r="P100" s="5">
        <v>0</v>
      </c>
      <c r="Q100" s="5">
        <f t="shared" ref="Q100" si="202">P100*O100</f>
        <v>0</v>
      </c>
      <c r="R100" s="6">
        <f t="shared" ref="R100" si="203">IFERROR(Q100+N100+L100,"")</f>
        <v>1.71</v>
      </c>
    </row>
    <row r="101" spans="1:18" x14ac:dyDescent="0.25">
      <c r="A101" t="s">
        <v>28</v>
      </c>
      <c r="B101" t="str">
        <f t="shared" ref="B101" si="204">IF($G100="","Hide","Show")</f>
        <v>Show</v>
      </c>
      <c r="H101" t="s">
        <v>162</v>
      </c>
    </row>
    <row r="102" spans="1:18" x14ac:dyDescent="0.25">
      <c r="A102" t="s">
        <v>28</v>
      </c>
      <c r="B102" t="str">
        <f t="shared" si="194"/>
        <v>Show</v>
      </c>
      <c r="E102" s="1"/>
      <c r="F102" t="str">
        <f>"""Ceres4"",""TCP-LIVE"",""27"",""1"",""P599998"""</f>
        <v>"Ceres4","TCP-LIVE","27","1","P599998"</v>
      </c>
      <c r="G102" t="s">
        <v>150</v>
      </c>
      <c r="H102" t="s">
        <v>163</v>
      </c>
      <c r="I102" s="5" t="s">
        <v>72</v>
      </c>
      <c r="J102" s="5">
        <v>11</v>
      </c>
      <c r="K102" s="5">
        <v>0</v>
      </c>
      <c r="L102" t="str">
        <f t="shared" ref="L102" si="205">IFERROR(IF(K102*J102=0,"0",K102*J102),0)</f>
        <v>0</v>
      </c>
      <c r="M102" s="5">
        <v>0</v>
      </c>
      <c r="N102" t="str">
        <f t="shared" ref="N102" si="206">IF(M102*J102=0,"0",M102*J102)</f>
        <v>0</v>
      </c>
      <c r="O102" s="5">
        <v>1.1000000000000001</v>
      </c>
      <c r="P102" s="5">
        <v>37.840000000000003</v>
      </c>
      <c r="Q102" s="5">
        <f t="shared" ref="Q102" si="207">P102*O102</f>
        <v>41.624000000000009</v>
      </c>
      <c r="R102" s="6">
        <f t="shared" ref="R102" si="208">IFERROR(Q102+N102+L102,"")</f>
        <v>41.624000000000009</v>
      </c>
    </row>
    <row r="103" spans="1:18" x14ac:dyDescent="0.25">
      <c r="A103" t="s">
        <v>28</v>
      </c>
      <c r="B103" t="str">
        <f t="shared" ref="B103" si="209">IF($G102="","Hide","Show")</f>
        <v>Show</v>
      </c>
      <c r="H103" t="s">
        <v>164</v>
      </c>
    </row>
    <row r="104" spans="1:18" x14ac:dyDescent="0.25">
      <c r="A104" t="s">
        <v>28</v>
      </c>
      <c r="B104" t="str">
        <f t="shared" ref="B104" si="210">IF($G98="","Hide","Show")</f>
        <v>Show</v>
      </c>
    </row>
    <row r="105" spans="1:18" ht="17.25" hidden="1" x14ac:dyDescent="0.3">
      <c r="A105" t="s">
        <v>28</v>
      </c>
      <c r="B105" t="str">
        <f t="shared" ref="B105" si="211">IF($G106="","Hide","Show")</f>
        <v>Hide</v>
      </c>
      <c r="C105" t="str">
        <f>"""Ceres4"",""TCP-LIVE"",""14012281"",""1"",""DRESSING"""</f>
        <v>"Ceres4","TCP-LIVE","14012281","1","DRESSING"</v>
      </c>
      <c r="D105" t="s">
        <v>39</v>
      </c>
      <c r="E105" s="9" t="s">
        <v>10</v>
      </c>
      <c r="F105" s="2"/>
      <c r="G105" s="8" t="s">
        <v>151</v>
      </c>
    </row>
    <row r="106" spans="1:18" hidden="1" x14ac:dyDescent="0.25">
      <c r="A106" t="s">
        <v>28</v>
      </c>
      <c r="B106" t="str">
        <f t="shared" ref="B106" si="212">IF($G106="","Hide","Show")</f>
        <v>Hide</v>
      </c>
      <c r="E106" s="1"/>
      <c r="F106" t="s">
        <v>29</v>
      </c>
      <c r="G106" t="s">
        <v>29</v>
      </c>
      <c r="H106" t="s">
        <v>29</v>
      </c>
      <c r="I106" s="5" t="s">
        <v>29</v>
      </c>
      <c r="J106" s="5" t="s">
        <v>29</v>
      </c>
      <c r="K106" s="5" t="s">
        <v>73</v>
      </c>
      <c r="L106">
        <f t="shared" ref="L106" si="213">IFERROR(IF(K106*J106=0,"0",K106*J106),0)</f>
        <v>0</v>
      </c>
      <c r="M106" s="5" t="s">
        <v>29</v>
      </c>
      <c r="N106" t="e">
        <f t="shared" ref="N106" si="214">IF(M106*J106=0,"0",M106*J106)</f>
        <v>#VALUE!</v>
      </c>
      <c r="O106" s="5" t="s">
        <v>29</v>
      </c>
      <c r="P106" s="5" t="s">
        <v>29</v>
      </c>
      <c r="Q106" s="5" t="e">
        <f t="shared" ref="Q106" si="215">P106*O106</f>
        <v>#VALUE!</v>
      </c>
      <c r="R106" s="6" t="str">
        <f t="shared" ref="R106" si="216">IFERROR(Q106+N106+L106,"")</f>
        <v/>
      </c>
    </row>
    <row r="107" spans="1:18" hidden="1" x14ac:dyDescent="0.25">
      <c r="A107" t="s">
        <v>28</v>
      </c>
      <c r="B107" t="str">
        <f t="shared" ref="B107" si="217">IF($G106="","Hide","Show")</f>
        <v>Hide</v>
      </c>
      <c r="H107" t="s">
        <v>29</v>
      </c>
    </row>
    <row r="108" spans="1:18" hidden="1" x14ac:dyDescent="0.25">
      <c r="A108" t="s">
        <v>28</v>
      </c>
      <c r="B108" t="str">
        <f t="shared" ref="B108" si="218">IF($G106="","Hide","Show")</f>
        <v>Hide</v>
      </c>
    </row>
    <row r="109" spans="1:18" ht="17.25" x14ac:dyDescent="0.3">
      <c r="A109" t="s">
        <v>28</v>
      </c>
      <c r="B109" t="str">
        <f t="shared" ref="B109" si="219">IF($G110="","Hide","Show")</f>
        <v>Show</v>
      </c>
      <c r="C109" t="str">
        <f>"""Ceres4"",""TCP-LIVE"",""14012281"",""1"",""ENTREE"""</f>
        <v>"Ceres4","TCP-LIVE","14012281","1","ENTREE"</v>
      </c>
      <c r="D109" t="s">
        <v>40</v>
      </c>
      <c r="E109" s="9" t="s">
        <v>10</v>
      </c>
      <c r="F109" s="2"/>
      <c r="G109" s="8" t="s">
        <v>152</v>
      </c>
    </row>
    <row r="110" spans="1:18" x14ac:dyDescent="0.25">
      <c r="A110" t="s">
        <v>28</v>
      </c>
      <c r="B110" t="str">
        <f t="shared" ref="B110:B126" si="220">IF($G110="","Hide","Show")</f>
        <v>Show</v>
      </c>
      <c r="E110" s="1"/>
      <c r="F110" t="s">
        <v>165</v>
      </c>
      <c r="G110" t="str">
        <f>"250004"</f>
        <v>250004</v>
      </c>
      <c r="H110" t="str">
        <f>"Entree - Pizza"</f>
        <v>Entree - Pizza</v>
      </c>
      <c r="I110" s="5" t="str">
        <f>"CS"</f>
        <v>CS</v>
      </c>
      <c r="J110" s="5">
        <v>25</v>
      </c>
      <c r="K110" s="5">
        <v>0.19</v>
      </c>
      <c r="L110">
        <f t="shared" ref="L110" si="221">IFERROR(IF(K110*J110=0,"0",K110*J110),0)</f>
        <v>4.75</v>
      </c>
      <c r="M110" s="5">
        <v>0</v>
      </c>
      <c r="N110" t="str">
        <f t="shared" ref="N110" si="222">IF(M110*J110=0,"0",M110*J110)</f>
        <v>0</v>
      </c>
      <c r="O110" s="5">
        <v>1</v>
      </c>
      <c r="P110" s="5">
        <v>0</v>
      </c>
      <c r="Q110" s="5">
        <f t="shared" ref="Q110" si="223">P110*O110</f>
        <v>0</v>
      </c>
      <c r="R110" s="6">
        <f t="shared" ref="R110" si="224">IFERROR(Q110+N110+L110,"")</f>
        <v>4.75</v>
      </c>
    </row>
    <row r="111" spans="1:18" x14ac:dyDescent="0.25">
      <c r="A111" t="s">
        <v>28</v>
      </c>
      <c r="B111" t="str">
        <f t="shared" ref="B111" si="225">IF($G110="","Hide","Show")</f>
        <v>Show</v>
      </c>
      <c r="H111" t="str">
        <f>"Bulk 25 lbs"</f>
        <v>Bulk 25 lbs</v>
      </c>
    </row>
    <row r="112" spans="1:18" x14ac:dyDescent="0.25">
      <c r="A112" t="s">
        <v>28</v>
      </c>
      <c r="B112" t="str">
        <f t="shared" si="220"/>
        <v>Show</v>
      </c>
      <c r="E112" s="1"/>
      <c r="F112" t="str">
        <f>"""Ceres4"",""TCP-LIVE"",""27"",""1"",""250072"""</f>
        <v>"Ceres4","TCP-LIVE","27","1","250072"</v>
      </c>
      <c r="G112" t="str">
        <f>"250072"</f>
        <v>250072</v>
      </c>
      <c r="H112" t="str">
        <f>"Entree- Pizza"</f>
        <v>Entree- Pizza</v>
      </c>
      <c r="I112" s="5" t="str">
        <f>"CS"</f>
        <v>CS</v>
      </c>
      <c r="J112" s="5">
        <v>30</v>
      </c>
      <c r="K112" s="5">
        <v>0.19</v>
      </c>
      <c r="L112">
        <f t="shared" ref="L112" si="226">IFERROR(IF(K112*J112=0,"0",K112*J112),0)</f>
        <v>5.7</v>
      </c>
      <c r="M112" s="5">
        <v>0</v>
      </c>
      <c r="N112" t="str">
        <f t="shared" ref="N112" si="227">IF(M112*J112=0,"0",M112*J112)</f>
        <v>0</v>
      </c>
      <c r="O112" s="5">
        <v>1</v>
      </c>
      <c r="P112" s="5">
        <v>0</v>
      </c>
      <c r="Q112" s="5">
        <f t="shared" ref="Q112" si="228">P112*O112</f>
        <v>0</v>
      </c>
      <c r="R112" s="6">
        <f t="shared" ref="R112" si="229">IFERROR(Q112+N112+L112,"")</f>
        <v>5.7</v>
      </c>
    </row>
    <row r="113" spans="1:18" x14ac:dyDescent="0.25">
      <c r="A113" t="s">
        <v>28</v>
      </c>
      <c r="B113" t="str">
        <f t="shared" ref="B113" si="230">IF($G112="","Hide","Show")</f>
        <v>Show</v>
      </c>
      <c r="H113" t="str">
        <f>"Bulk 30 lbs"</f>
        <v>Bulk 30 lbs</v>
      </c>
    </row>
    <row r="114" spans="1:18" x14ac:dyDescent="0.25">
      <c r="A114" t="s">
        <v>28</v>
      </c>
      <c r="B114" t="str">
        <f t="shared" si="220"/>
        <v>Show</v>
      </c>
      <c r="E114" s="1"/>
      <c r="F114" t="str">
        <f>"""Ceres4"",""TCP-LIVE"",""27"",""1"",""250265"""</f>
        <v>"Ceres4","TCP-LIVE","27","1","250265"</v>
      </c>
      <c r="G114" t="str">
        <f>"250265"</f>
        <v>250265</v>
      </c>
      <c r="H114" t="str">
        <f>"Entree- Pizza Deep Dish"</f>
        <v>Entree- Pizza Deep Dish</v>
      </c>
      <c r="I114" s="5" t="str">
        <f>"CS"</f>
        <v>CS</v>
      </c>
      <c r="J114" s="5">
        <v>18</v>
      </c>
      <c r="K114" s="5">
        <v>0.19</v>
      </c>
      <c r="L114">
        <f t="shared" ref="L114" si="231">IFERROR(IF(K114*J114=0,"0",K114*J114),0)</f>
        <v>3.42</v>
      </c>
      <c r="M114" s="5">
        <v>0</v>
      </c>
      <c r="N114" t="str">
        <f t="shared" ref="N114" si="232">IF(M114*J114=0,"0",M114*J114)</f>
        <v>0</v>
      </c>
      <c r="O114" s="5">
        <v>1</v>
      </c>
      <c r="P114" s="5">
        <v>0</v>
      </c>
      <c r="Q114" s="5">
        <f t="shared" ref="Q114" si="233">P114*O114</f>
        <v>0</v>
      </c>
      <c r="R114" s="6">
        <f t="shared" ref="R114" si="234">IFERROR(Q114+N114+L114,"")</f>
        <v>3.42</v>
      </c>
    </row>
    <row r="115" spans="1:18" x14ac:dyDescent="0.25">
      <c r="A115" t="s">
        <v>28</v>
      </c>
      <c r="B115" t="str">
        <f t="shared" ref="B115" si="235">IF($G114="","Hide","Show")</f>
        <v>Show</v>
      </c>
      <c r="H115" t="str">
        <f>"Bulk 18 lbx"</f>
        <v>Bulk 18 lbx</v>
      </c>
    </row>
    <row r="116" spans="1:18" x14ac:dyDescent="0.25">
      <c r="A116" t="s">
        <v>28</v>
      </c>
      <c r="B116" t="str">
        <f t="shared" si="220"/>
        <v>Show</v>
      </c>
      <c r="E116" s="1"/>
      <c r="F116" t="str">
        <f>"""Ceres4"",""TCP-LIVE"",""27"",""1"",""P250013"""</f>
        <v>"Ceres4","TCP-LIVE","27","1","P250013"</v>
      </c>
      <c r="G116" t="str">
        <f>"P250013"</f>
        <v>P250013</v>
      </c>
      <c r="H116" t="str">
        <f>"Entree - Beef Meatball"</f>
        <v>Entree - Beef Meatball</v>
      </c>
      <c r="I116" s="5" t="str">
        <f>"CS"</f>
        <v>CS</v>
      </c>
      <c r="J116" s="5">
        <v>9</v>
      </c>
      <c r="K116" s="5">
        <v>0</v>
      </c>
      <c r="L116" t="str">
        <f t="shared" ref="L116" si="236">IFERROR(IF(K116*J116=0,"0",K116*J116),0)</f>
        <v>0</v>
      </c>
      <c r="M116" s="5">
        <v>0</v>
      </c>
      <c r="N116" t="str">
        <f t="shared" ref="N116" si="237">IF(M116*J116=0,"0",M116*J116)</f>
        <v>0</v>
      </c>
      <c r="O116" s="5">
        <v>1.1499999999999999</v>
      </c>
      <c r="P116" s="5">
        <v>11.93</v>
      </c>
      <c r="Q116" s="5">
        <f t="shared" ref="Q116" si="238">P116*O116</f>
        <v>13.719499999999998</v>
      </c>
      <c r="R116" s="6">
        <f t="shared" ref="R116" si="239">IFERROR(Q116+N116+L116,"")</f>
        <v>13.719499999999998</v>
      </c>
    </row>
    <row r="117" spans="1:18" x14ac:dyDescent="0.25">
      <c r="A117" t="s">
        <v>28</v>
      </c>
      <c r="B117" t="str">
        <f t="shared" ref="B117" si="240">IF($G116="","Hide","Show")</f>
        <v>Show</v>
      </c>
      <c r="H117" t="str">
        <f>"12-12 oz"</f>
        <v>12-12 oz</v>
      </c>
    </row>
    <row r="118" spans="1:18" x14ac:dyDescent="0.25">
      <c r="A118" t="s">
        <v>28</v>
      </c>
      <c r="B118" t="str">
        <f t="shared" si="220"/>
        <v>Show</v>
      </c>
      <c r="E118" s="1"/>
      <c r="F118" t="str">
        <f>"""Ceres4"",""TCP-LIVE"",""27"",""1"",""P250014"""</f>
        <v>"Ceres4","TCP-LIVE","27","1","P250014"</v>
      </c>
      <c r="G118" t="str">
        <f>"P250014"</f>
        <v>P250014</v>
      </c>
      <c r="H118" t="str">
        <f>"Entree - Beef Stew"</f>
        <v>Entree - Beef Stew</v>
      </c>
      <c r="I118" s="5" t="str">
        <f>"CS"</f>
        <v>CS</v>
      </c>
      <c r="J118" s="5">
        <v>13</v>
      </c>
      <c r="K118" s="5">
        <v>0</v>
      </c>
      <c r="L118" t="str">
        <f t="shared" ref="L118" si="241">IFERROR(IF(K118*J118=0,"0",K118*J118),0)</f>
        <v>0</v>
      </c>
      <c r="M118" s="5">
        <v>0</v>
      </c>
      <c r="N118" t="str">
        <f t="shared" ref="N118" si="242">IF(M118*J118=0,"0",M118*J118)</f>
        <v>0</v>
      </c>
      <c r="O118" s="5">
        <v>1.2</v>
      </c>
      <c r="P118" s="5">
        <v>11.69</v>
      </c>
      <c r="Q118" s="5">
        <f t="shared" ref="Q118" si="243">P118*O118</f>
        <v>14.027999999999999</v>
      </c>
      <c r="R118" s="6">
        <f t="shared" ref="R118" si="244">IFERROR(Q118+N118+L118,"")</f>
        <v>14.027999999999999</v>
      </c>
    </row>
    <row r="119" spans="1:18" x14ac:dyDescent="0.25">
      <c r="A119" t="s">
        <v>28</v>
      </c>
      <c r="B119" t="str">
        <f t="shared" ref="B119" si="245">IF($G118="","Hide","Show")</f>
        <v>Show</v>
      </c>
      <c r="H119" t="str">
        <f>"12-15 oz"</f>
        <v>12-15 oz</v>
      </c>
    </row>
    <row r="120" spans="1:18" x14ac:dyDescent="0.25">
      <c r="A120" t="s">
        <v>28</v>
      </c>
      <c r="B120" t="str">
        <f t="shared" si="220"/>
        <v>Show</v>
      </c>
      <c r="E120" s="1"/>
      <c r="F120" t="str">
        <f>"""Ceres4"",""TCP-LIVE"",""27"",""1"",""P250045"""</f>
        <v>"Ceres4","TCP-LIVE","27","1","P250045"</v>
      </c>
      <c r="G120" t="str">
        <f>"P250045"</f>
        <v>P250045</v>
      </c>
      <c r="H120" t="str">
        <f>"Entree- Pizza"</f>
        <v>Entree- Pizza</v>
      </c>
      <c r="I120" s="5" t="str">
        <f>"BOX"</f>
        <v>BOX</v>
      </c>
      <c r="J120" s="5">
        <v>18</v>
      </c>
      <c r="K120" s="5">
        <v>0</v>
      </c>
      <c r="L120" t="str">
        <f t="shared" ref="L120" si="246">IFERROR(IF(K120*J120=0,"0",K120*J120),0)</f>
        <v>0</v>
      </c>
      <c r="M120" s="5">
        <v>0</v>
      </c>
      <c r="N120" t="str">
        <f t="shared" ref="N120" si="247">IF(M120*J120=0,"0",M120*J120)</f>
        <v>0</v>
      </c>
      <c r="O120" s="5">
        <v>1.2</v>
      </c>
      <c r="P120" s="5">
        <v>49.75</v>
      </c>
      <c r="Q120" s="5">
        <f t="shared" ref="Q120" si="248">P120*O120</f>
        <v>59.699999999999996</v>
      </c>
      <c r="R120" s="6">
        <f t="shared" ref="R120" si="249">IFERROR(Q120+N120+L120,"")</f>
        <v>59.699999999999996</v>
      </c>
    </row>
    <row r="121" spans="1:18" x14ac:dyDescent="0.25">
      <c r="A121" t="s">
        <v>28</v>
      </c>
      <c r="B121" t="str">
        <f t="shared" ref="B121" si="250">IF($G120="","Hide","Show")</f>
        <v>Show</v>
      </c>
      <c r="H121" t="str">
        <f>"54-5.45 oz"</f>
        <v>54-5.45 oz</v>
      </c>
    </row>
    <row r="122" spans="1:18" x14ac:dyDescent="0.25">
      <c r="A122" t="s">
        <v>28</v>
      </c>
      <c r="B122" t="str">
        <f t="shared" si="220"/>
        <v>Show</v>
      </c>
      <c r="E122" s="1"/>
      <c r="F122" t="str">
        <f>"""Ceres4"",""TCP-LIVE"",""27"",""1"",""P250088"""</f>
        <v>"Ceres4","TCP-LIVE","27","1","P250088"</v>
      </c>
      <c r="G122" t="str">
        <f>"P250088"</f>
        <v>P250088</v>
      </c>
      <c r="H122" t="str">
        <f>"Entree - Chicken Salad Sack Lunches"</f>
        <v>Entree - Chicken Salad Sack Lunches</v>
      </c>
      <c r="I122" s="5" t="str">
        <f>"BOX"</f>
        <v>BOX</v>
      </c>
      <c r="J122" s="5">
        <v>33</v>
      </c>
      <c r="K122" s="5">
        <v>0</v>
      </c>
      <c r="L122" t="str">
        <f t="shared" ref="L122" si="251">IFERROR(IF(K122*J122=0,"0",K122*J122),0)</f>
        <v>0</v>
      </c>
      <c r="M122" s="5">
        <v>0</v>
      </c>
      <c r="N122" t="str">
        <f t="shared" ref="N122" si="252">IF(M122*J122=0,"0",M122*J122)</f>
        <v>0</v>
      </c>
      <c r="O122" s="5">
        <v>1.1000000000000001</v>
      </c>
      <c r="P122" s="5">
        <v>79</v>
      </c>
      <c r="Q122" s="5">
        <f t="shared" ref="Q122" si="253">P122*O122</f>
        <v>86.9</v>
      </c>
      <c r="R122" s="6">
        <f t="shared" ref="R122" si="254">IFERROR(Q122+N122+L122,"")</f>
        <v>86.9</v>
      </c>
    </row>
    <row r="123" spans="1:18" x14ac:dyDescent="0.25">
      <c r="A123" t="s">
        <v>28</v>
      </c>
      <c r="B123" t="str">
        <f t="shared" ref="B123" si="255">IF($G122="","Hide","Show")</f>
        <v>Show</v>
      </c>
      <c r="H123" t="str">
        <f>"30- 16 oz units"</f>
        <v>30- 16 oz units</v>
      </c>
    </row>
    <row r="124" spans="1:18" x14ac:dyDescent="0.25">
      <c r="A124" t="s">
        <v>28</v>
      </c>
      <c r="B124" t="str">
        <f t="shared" si="220"/>
        <v>Show</v>
      </c>
      <c r="E124" s="1"/>
      <c r="F124" t="str">
        <f>"""Ceres4"",""TCP-LIVE"",""27"",""1"",""P269991"""</f>
        <v>"Ceres4","TCP-LIVE","27","1","P269991"</v>
      </c>
      <c r="G124" t="str">
        <f>"P269991"</f>
        <v>P269991</v>
      </c>
      <c r="H124" t="str">
        <f>"Entree - PB and J Sandwich"</f>
        <v>Entree - PB and J Sandwich</v>
      </c>
      <c r="I124" s="5" t="str">
        <f>"BOX"</f>
        <v>BOX</v>
      </c>
      <c r="J124" s="5">
        <v>14</v>
      </c>
      <c r="K124" s="5">
        <v>0</v>
      </c>
      <c r="L124" t="str">
        <f t="shared" ref="L124" si="256">IFERROR(IF(K124*J124=0,"0",K124*J124),0)</f>
        <v>0</v>
      </c>
      <c r="M124" s="5">
        <v>0</v>
      </c>
      <c r="N124" t="str">
        <f t="shared" ref="N124" si="257">IF(M124*J124=0,"0",M124*J124)</f>
        <v>0</v>
      </c>
      <c r="O124" s="5">
        <v>1.2</v>
      </c>
      <c r="P124" s="5">
        <v>39.870000000000005</v>
      </c>
      <c r="Q124" s="5">
        <f t="shared" ref="Q124" si="258">P124*O124</f>
        <v>47.844000000000001</v>
      </c>
      <c r="R124" s="6">
        <f t="shared" ref="R124" si="259">IFERROR(Q124+N124+L124,"")</f>
        <v>47.844000000000001</v>
      </c>
    </row>
    <row r="125" spans="1:18" x14ac:dyDescent="0.25">
      <c r="A125" t="s">
        <v>28</v>
      </c>
      <c r="B125" t="str">
        <f t="shared" ref="B125" si="260">IF($G124="","Hide","Show")</f>
        <v>Show</v>
      </c>
      <c r="H125" t="str">
        <f>"72-3 oz"</f>
        <v>72-3 oz</v>
      </c>
    </row>
    <row r="126" spans="1:18" x14ac:dyDescent="0.25">
      <c r="A126" t="s">
        <v>28</v>
      </c>
      <c r="B126" t="str">
        <f t="shared" si="220"/>
        <v>Show</v>
      </c>
      <c r="E126" s="1"/>
      <c r="F126" t="str">
        <f>"""Ceres4"",""TCP-LIVE"",""27"",""1"",""P269998"""</f>
        <v>"Ceres4","TCP-LIVE","27","1","P269998"</v>
      </c>
      <c r="G126" t="str">
        <f>"P269998"</f>
        <v>P269998</v>
      </c>
      <c r="H126" t="str">
        <f>"Entree- Red Chili"</f>
        <v>Entree- Red Chili</v>
      </c>
      <c r="I126" s="5" t="str">
        <f>"EA"</f>
        <v>EA</v>
      </c>
      <c r="J126" s="5">
        <v>1</v>
      </c>
      <c r="K126" s="5">
        <v>0</v>
      </c>
      <c r="L126" t="str">
        <f t="shared" ref="L126" si="261">IFERROR(IF(K126*J126=0,"0",K126*J126),0)</f>
        <v>0</v>
      </c>
      <c r="M126" s="5">
        <v>0</v>
      </c>
      <c r="N126" t="str">
        <f t="shared" ref="N126" si="262">IF(M126*J126=0,"0",M126*J126)</f>
        <v>0</v>
      </c>
      <c r="O126" s="5">
        <v>1.1000000000000001</v>
      </c>
      <c r="P126" s="5">
        <v>4.21</v>
      </c>
      <c r="Q126" s="5">
        <f t="shared" ref="Q126" si="263">P126*O126</f>
        <v>4.6310000000000002</v>
      </c>
      <c r="R126" s="6">
        <f t="shared" ref="R126" si="264">IFERROR(Q126+N126+L126,"")</f>
        <v>4.6310000000000002</v>
      </c>
    </row>
    <row r="127" spans="1:18" x14ac:dyDescent="0.25">
      <c r="A127" t="s">
        <v>28</v>
      </c>
      <c r="B127" t="str">
        <f t="shared" ref="B127" si="265">IF($G126="","Hide","Show")</f>
        <v>Show</v>
      </c>
      <c r="H127" t="str">
        <f>"1- 1 lb tub"</f>
        <v>1- 1 lb tub</v>
      </c>
    </row>
    <row r="128" spans="1:18" x14ac:dyDescent="0.25">
      <c r="A128" t="s">
        <v>28</v>
      </c>
      <c r="B128" t="str">
        <f t="shared" ref="B128" si="266">IF($G110="","Hide","Show")</f>
        <v>Show</v>
      </c>
    </row>
    <row r="129" spans="1:18" ht="17.25" x14ac:dyDescent="0.3">
      <c r="A129" t="s">
        <v>28</v>
      </c>
      <c r="B129" t="str">
        <f t="shared" ref="B129" si="267">IF($G130="","Hide","Show")</f>
        <v>Show</v>
      </c>
      <c r="C129" t="str">
        <f>"""Ceres4"",""TCP-LIVE"",""14012281"",""1"",""FRUIT/ VEG"""</f>
        <v>"Ceres4","TCP-LIVE","14012281","1","FRUIT/ VEG"</v>
      </c>
      <c r="D129" t="s">
        <v>41</v>
      </c>
      <c r="E129" s="9" t="s">
        <v>10</v>
      </c>
      <c r="F129" s="2"/>
      <c r="G129" s="8" t="s">
        <v>141</v>
      </c>
    </row>
    <row r="130" spans="1:18" x14ac:dyDescent="0.25">
      <c r="A130" t="s">
        <v>28</v>
      </c>
      <c r="B130" t="str">
        <f t="shared" ref="B130:B152" si="268">IF($G130="","Hide","Show")</f>
        <v>Show</v>
      </c>
      <c r="E130" s="1"/>
      <c r="F130" t="s">
        <v>142</v>
      </c>
      <c r="G130" t="str">
        <f>"P250051"</f>
        <v>P250051</v>
      </c>
      <c r="H130" t="str">
        <f>"Entree - Beans and Franks"</f>
        <v>Entree - Beans and Franks</v>
      </c>
      <c r="I130" s="5" t="str">
        <f>"CS"</f>
        <v>CS</v>
      </c>
      <c r="J130" s="5">
        <v>26</v>
      </c>
      <c r="K130" s="5">
        <v>0</v>
      </c>
      <c r="L130" t="str">
        <f t="shared" ref="L130" si="269">IFERROR(IF(K130*J130=0,"0",K130*J130),0)</f>
        <v>0</v>
      </c>
      <c r="M130" s="5">
        <v>0</v>
      </c>
      <c r="N130" t="str">
        <f t="shared" ref="N130" si="270">IF(M130*J130=0,"0",M130*J130)</f>
        <v>0</v>
      </c>
      <c r="O130" s="5">
        <v>1.1499999999999999</v>
      </c>
      <c r="P130" s="5">
        <v>18.11</v>
      </c>
      <c r="Q130" s="5">
        <f t="shared" ref="Q130" si="271">P130*O130</f>
        <v>20.826499999999999</v>
      </c>
      <c r="R130" s="6">
        <f t="shared" ref="R130" si="272">IFERROR(Q130+N130+L130,"")</f>
        <v>20.826499999999999</v>
      </c>
    </row>
    <row r="131" spans="1:18" x14ac:dyDescent="0.25">
      <c r="A131" t="s">
        <v>28</v>
      </c>
      <c r="B131" t="str">
        <f t="shared" ref="B131" si="273">IF($G130="","Hide","Show")</f>
        <v>Show</v>
      </c>
      <c r="H131" t="str">
        <f>"24-15 oz"</f>
        <v>24-15 oz</v>
      </c>
    </row>
    <row r="132" spans="1:18" x14ac:dyDescent="0.25">
      <c r="A132" t="s">
        <v>28</v>
      </c>
      <c r="B132" t="str">
        <f t="shared" si="268"/>
        <v>Show</v>
      </c>
      <c r="E132" s="1"/>
      <c r="F132" t="str">
        <f>"""Ceres4"",""TCP-LIVE"",""27"",""1"",""P300001"""</f>
        <v>"Ceres4","TCP-LIVE","27","1","P300001"</v>
      </c>
      <c r="G132" t="str">
        <f>"P300001"</f>
        <v>P300001</v>
      </c>
      <c r="H132" t="str">
        <f>"Vegetable-Canned Sweet Corn"</f>
        <v>Vegetable-Canned Sweet Corn</v>
      </c>
      <c r="I132" s="5" t="str">
        <f>"CS"</f>
        <v>CS</v>
      </c>
      <c r="J132" s="5">
        <v>28</v>
      </c>
      <c r="K132" s="5">
        <v>0</v>
      </c>
      <c r="L132" t="str">
        <f t="shared" ref="L132" si="274">IFERROR(IF(K132*J132=0,"0",K132*J132),0)</f>
        <v>0</v>
      </c>
      <c r="M132" s="5">
        <v>0</v>
      </c>
      <c r="N132" t="str">
        <f t="shared" ref="N132" si="275">IF(M132*J132=0,"0",M132*J132)</f>
        <v>0</v>
      </c>
      <c r="O132" s="5">
        <v>1.2</v>
      </c>
      <c r="P132" s="5">
        <v>10.18</v>
      </c>
      <c r="Q132" s="5">
        <f t="shared" ref="Q132" si="276">P132*O132</f>
        <v>12.215999999999999</v>
      </c>
      <c r="R132" s="6">
        <f t="shared" ref="R132" si="277">IFERROR(Q132+N132+L132,"")</f>
        <v>12.215999999999999</v>
      </c>
    </row>
    <row r="133" spans="1:18" x14ac:dyDescent="0.25">
      <c r="A133" t="s">
        <v>28</v>
      </c>
      <c r="B133" t="str">
        <f t="shared" ref="B133" si="278">IF($G132="","Hide","Show")</f>
        <v>Show</v>
      </c>
      <c r="H133" t="str">
        <f>"24-15 oz"</f>
        <v>24-15 oz</v>
      </c>
    </row>
    <row r="134" spans="1:18" x14ac:dyDescent="0.25">
      <c r="A134" t="s">
        <v>28</v>
      </c>
      <c r="B134" t="str">
        <f t="shared" si="268"/>
        <v>Show</v>
      </c>
      <c r="E134" s="1"/>
      <c r="F134" t="str">
        <f>"""Ceres4"",""TCP-LIVE"",""27"",""1"",""P300002"""</f>
        <v>"Ceres4","TCP-LIVE","27","1","P300002"</v>
      </c>
      <c r="G134" t="str">
        <f>"P300002"</f>
        <v>P300002</v>
      </c>
      <c r="H134" t="str">
        <f>"Vegetable - Olives"</f>
        <v>Vegetable - Olives</v>
      </c>
      <c r="I134" s="5" t="str">
        <f>"EA"</f>
        <v>EA</v>
      </c>
      <c r="J134" s="5">
        <v>1</v>
      </c>
      <c r="K134" s="5">
        <v>0</v>
      </c>
      <c r="L134" t="str">
        <f t="shared" ref="L134" si="279">IFERROR(IF(K134*J134=0,"0",K134*J134),0)</f>
        <v>0</v>
      </c>
      <c r="M134" s="5">
        <v>0</v>
      </c>
      <c r="N134" t="str">
        <f t="shared" ref="N134" si="280">IF(M134*J134=0,"0",M134*J134)</f>
        <v>0</v>
      </c>
      <c r="O134" s="5">
        <v>1.2</v>
      </c>
      <c r="P134" s="5">
        <v>1.1126499999999999</v>
      </c>
      <c r="Q134" s="5">
        <f t="shared" ref="Q134" si="281">P134*O134</f>
        <v>1.3351799999999998</v>
      </c>
      <c r="R134" s="6">
        <f t="shared" ref="R134" si="282">IFERROR(Q134+N134+L134,"")</f>
        <v>1.3351799999999998</v>
      </c>
    </row>
    <row r="135" spans="1:18" x14ac:dyDescent="0.25">
      <c r="A135" t="s">
        <v>28</v>
      </c>
      <c r="B135" t="str">
        <f t="shared" ref="B135" si="283">IF($G134="","Hide","Show")</f>
        <v>Show</v>
      </c>
      <c r="H135" t="str">
        <f>"1- 16 oz"</f>
        <v>1- 16 oz</v>
      </c>
    </row>
    <row r="136" spans="1:18" x14ac:dyDescent="0.25">
      <c r="A136" t="s">
        <v>28</v>
      </c>
      <c r="B136" t="str">
        <f t="shared" si="268"/>
        <v>Show</v>
      </c>
      <c r="E136" s="1"/>
      <c r="F136" t="str">
        <f>"""Ceres4"",""TCP-LIVE"",""27"",""1"",""P300007"""</f>
        <v>"Ceres4","TCP-LIVE","27","1","P300007"</v>
      </c>
      <c r="G136" t="str">
        <f>"P300007"</f>
        <v>P300007</v>
      </c>
      <c r="H136" t="str">
        <f>"Vegetable - Corn"</f>
        <v>Vegetable - Corn</v>
      </c>
      <c r="I136" s="5" t="str">
        <f>"EA"</f>
        <v>EA</v>
      </c>
      <c r="J136" s="5">
        <v>1</v>
      </c>
      <c r="K136" s="5">
        <v>0</v>
      </c>
      <c r="L136" t="str">
        <f t="shared" ref="L136" si="284">IFERROR(IF(K136*J136=0,"0",K136*J136),0)</f>
        <v>0</v>
      </c>
      <c r="M136" s="5">
        <v>0</v>
      </c>
      <c r="N136" t="str">
        <f t="shared" ref="N136" si="285">IF(M136*J136=0,"0",M136*J136)</f>
        <v>0</v>
      </c>
      <c r="O136" s="5">
        <v>1.1499999999999999</v>
      </c>
      <c r="P136" s="5">
        <v>0.59</v>
      </c>
      <c r="Q136" s="5">
        <f t="shared" ref="Q136" si="286">P136*O136</f>
        <v>0.67849999999999988</v>
      </c>
      <c r="R136" s="6">
        <f t="shared" ref="R136" si="287">IFERROR(Q136+N136+L136,"")</f>
        <v>0.67849999999999988</v>
      </c>
    </row>
    <row r="137" spans="1:18" x14ac:dyDescent="0.25">
      <c r="A137" t="s">
        <v>28</v>
      </c>
      <c r="B137" t="str">
        <f t="shared" ref="B137" si="288">IF($G136="","Hide","Show")</f>
        <v>Show</v>
      </c>
      <c r="H137" t="str">
        <f>"1 - 15 oz"</f>
        <v>1 - 15 oz</v>
      </c>
    </row>
    <row r="138" spans="1:18" x14ac:dyDescent="0.25">
      <c r="A138" t="s">
        <v>28</v>
      </c>
      <c r="B138" t="str">
        <f t="shared" si="268"/>
        <v>Show</v>
      </c>
      <c r="E138" s="1"/>
      <c r="F138" t="str">
        <f>"""Ceres4"",""TCP-LIVE"",""27"",""1"",""P300011"""</f>
        <v>"Ceres4","TCP-LIVE","27","1","P300011"</v>
      </c>
      <c r="G138" t="str">
        <f>"P300011"</f>
        <v>P300011</v>
      </c>
      <c r="H138" t="str">
        <f>"Vegetable- Sliced Potatoes"</f>
        <v>Vegetable- Sliced Potatoes</v>
      </c>
      <c r="I138" s="5" t="str">
        <f>"CS"</f>
        <v>CS</v>
      </c>
      <c r="J138" s="5">
        <v>26</v>
      </c>
      <c r="K138" s="5">
        <v>0</v>
      </c>
      <c r="L138" t="str">
        <f t="shared" ref="L138" si="289">IFERROR(IF(K138*J138=0,"0",K138*J138),0)</f>
        <v>0</v>
      </c>
      <c r="M138" s="5">
        <v>0</v>
      </c>
      <c r="N138" t="str">
        <f t="shared" ref="N138" si="290">IF(M138*J138=0,"0",M138*J138)</f>
        <v>0</v>
      </c>
      <c r="O138" s="5">
        <v>1.2</v>
      </c>
      <c r="P138" s="5">
        <v>13.07</v>
      </c>
      <c r="Q138" s="5">
        <f t="shared" ref="Q138" si="291">P138*O138</f>
        <v>15.683999999999999</v>
      </c>
      <c r="R138" s="6">
        <f t="shared" ref="R138" si="292">IFERROR(Q138+N138+L138,"")</f>
        <v>15.683999999999999</v>
      </c>
    </row>
    <row r="139" spans="1:18" x14ac:dyDescent="0.25">
      <c r="A139" t="s">
        <v>28</v>
      </c>
      <c r="B139" t="str">
        <f t="shared" ref="B139" si="293">IF($G138="","Hide","Show")</f>
        <v>Show</v>
      </c>
      <c r="H139" t="str">
        <f>"24-15 oz"</f>
        <v>24-15 oz</v>
      </c>
    </row>
    <row r="140" spans="1:18" x14ac:dyDescent="0.25">
      <c r="A140" t="s">
        <v>28</v>
      </c>
      <c r="B140" t="str">
        <f t="shared" si="268"/>
        <v>Show</v>
      </c>
      <c r="E140" s="1"/>
      <c r="F140" t="str">
        <f>"""Ceres4"",""TCP-LIVE"",""27"",""1"",""P300012"""</f>
        <v>"Ceres4","TCP-LIVE","27","1","P300012"</v>
      </c>
      <c r="G140" t="str">
        <f>"P300012"</f>
        <v>P300012</v>
      </c>
      <c r="H140" t="str">
        <f>"Fruit- Canned Fruit Cocktail"</f>
        <v>Fruit- Canned Fruit Cocktail</v>
      </c>
      <c r="I140" s="5" t="str">
        <f>"CS"</f>
        <v>CS</v>
      </c>
      <c r="J140" s="5">
        <v>28</v>
      </c>
      <c r="K140" s="5">
        <v>0</v>
      </c>
      <c r="L140" t="str">
        <f t="shared" ref="L140" si="294">IFERROR(IF(K140*J140=0,"0",K140*J140),0)</f>
        <v>0</v>
      </c>
      <c r="M140" s="5">
        <v>0</v>
      </c>
      <c r="N140" t="str">
        <f t="shared" ref="N140" si="295">IF(M140*J140=0,"0",M140*J140)</f>
        <v>0</v>
      </c>
      <c r="O140" s="5">
        <v>1.2</v>
      </c>
      <c r="P140" s="5">
        <v>17.87</v>
      </c>
      <c r="Q140" s="5">
        <f t="shared" ref="Q140" si="296">P140*O140</f>
        <v>21.443999999999999</v>
      </c>
      <c r="R140" s="6">
        <f t="shared" ref="R140" si="297">IFERROR(Q140+N140+L140,"")</f>
        <v>21.443999999999999</v>
      </c>
    </row>
    <row r="141" spans="1:18" x14ac:dyDescent="0.25">
      <c r="A141" t="s">
        <v>28</v>
      </c>
      <c r="B141" t="str">
        <f t="shared" ref="B141" si="298">IF($G140="","Hide","Show")</f>
        <v>Show</v>
      </c>
      <c r="H141" t="str">
        <f>"24-15 oz"</f>
        <v>24-15 oz</v>
      </c>
    </row>
    <row r="142" spans="1:18" x14ac:dyDescent="0.25">
      <c r="A142" t="s">
        <v>28</v>
      </c>
      <c r="B142" t="str">
        <f t="shared" si="268"/>
        <v>Show</v>
      </c>
      <c r="E142" s="1"/>
      <c r="F142" t="str">
        <f>"""Ceres4"",""TCP-LIVE"",""27"",""1"",""P300013"""</f>
        <v>"Ceres4","TCP-LIVE","27","1","P300013"</v>
      </c>
      <c r="G142" t="str">
        <f>"P300013"</f>
        <v>P300013</v>
      </c>
      <c r="H142" t="str">
        <f>"Fruit - Fruit Cocktail"</f>
        <v>Fruit - Fruit Cocktail</v>
      </c>
      <c r="I142" s="5" t="str">
        <f>"EA"</f>
        <v>EA</v>
      </c>
      <c r="J142" s="5">
        <v>1</v>
      </c>
      <c r="K142" s="5">
        <v>0</v>
      </c>
      <c r="L142" t="str">
        <f t="shared" ref="L142" si="299">IFERROR(IF(K142*J142=0,"0",K142*J142),0)</f>
        <v>0</v>
      </c>
      <c r="M142" s="5">
        <v>0</v>
      </c>
      <c r="N142" t="str">
        <f t="shared" ref="N142" si="300">IF(M142*J142=0,"0",M142*J142)</f>
        <v>0</v>
      </c>
      <c r="O142" s="5">
        <v>1.2</v>
      </c>
      <c r="P142" s="5">
        <v>1.19</v>
      </c>
      <c r="Q142" s="5">
        <f t="shared" ref="Q142" si="301">P142*O142</f>
        <v>1.4279999999999999</v>
      </c>
      <c r="R142" s="6">
        <f t="shared" ref="R142" si="302">IFERROR(Q142+N142+L142,"")</f>
        <v>1.4279999999999999</v>
      </c>
    </row>
    <row r="143" spans="1:18" x14ac:dyDescent="0.25">
      <c r="A143" t="s">
        <v>28</v>
      </c>
      <c r="B143" t="str">
        <f t="shared" ref="B143" si="303">IF($G142="","Hide","Show")</f>
        <v>Show</v>
      </c>
      <c r="H143" t="str">
        <f>"1-15 oz"</f>
        <v>1-15 oz</v>
      </c>
    </row>
    <row r="144" spans="1:18" x14ac:dyDescent="0.25">
      <c r="A144" t="s">
        <v>28</v>
      </c>
      <c r="B144" t="str">
        <f t="shared" si="268"/>
        <v>Show</v>
      </c>
      <c r="E144" s="1"/>
      <c r="F144" t="str">
        <f>"""Ceres4"",""TCP-LIVE"",""27"",""1"",""P300025"""</f>
        <v>"Ceres4","TCP-LIVE","27","1","P300025"</v>
      </c>
      <c r="G144" t="str">
        <f>"P300025"</f>
        <v>P300025</v>
      </c>
      <c r="H144" t="str">
        <f>"Vegetable-Canned Tomato Sauce"</f>
        <v>Vegetable-Canned Tomato Sauce</v>
      </c>
      <c r="I144" s="5" t="str">
        <f>"CS"</f>
        <v>CS</v>
      </c>
      <c r="J144" s="5">
        <v>29</v>
      </c>
      <c r="K144" s="5">
        <v>0</v>
      </c>
      <c r="L144" t="str">
        <f t="shared" ref="L144" si="304">IFERROR(IF(K144*J144=0,"0",K144*J144),0)</f>
        <v>0</v>
      </c>
      <c r="M144" s="5">
        <v>0</v>
      </c>
      <c r="N144" t="str">
        <f t="shared" ref="N144" si="305">IF(M144*J144=0,"0",M144*J144)</f>
        <v>0</v>
      </c>
      <c r="O144" s="5">
        <v>1.2</v>
      </c>
      <c r="P144" s="5">
        <v>14.15</v>
      </c>
      <c r="Q144" s="5">
        <f t="shared" ref="Q144" si="306">P144*O144</f>
        <v>16.98</v>
      </c>
      <c r="R144" s="6">
        <f t="shared" ref="R144" si="307">IFERROR(Q144+N144+L144,"")</f>
        <v>16.98</v>
      </c>
    </row>
    <row r="145" spans="1:18" x14ac:dyDescent="0.25">
      <c r="A145" t="s">
        <v>28</v>
      </c>
      <c r="B145" t="str">
        <f t="shared" ref="B145" si="308">IF($G144="","Hide","Show")</f>
        <v>Show</v>
      </c>
      <c r="H145" t="str">
        <f>"48- 8 oz"</f>
        <v>48- 8 oz</v>
      </c>
    </row>
    <row r="146" spans="1:18" x14ac:dyDescent="0.25">
      <c r="A146" t="s">
        <v>28</v>
      </c>
      <c r="B146" t="str">
        <f t="shared" si="268"/>
        <v>Show</v>
      </c>
      <c r="E146" s="1"/>
      <c r="F146" t="str">
        <f>"""Ceres4"",""TCP-LIVE"",""27"",""1"",""P300030"""</f>
        <v>"Ceres4","TCP-LIVE","27","1","P300030"</v>
      </c>
      <c r="G146" t="str">
        <f>"P300030"</f>
        <v>P300030</v>
      </c>
      <c r="H146" t="str">
        <f>"Fruit - Sliced Peaches"</f>
        <v>Fruit - Sliced Peaches</v>
      </c>
      <c r="I146" s="5" t="str">
        <f>"CS"</f>
        <v>CS</v>
      </c>
      <c r="J146" s="5">
        <v>23</v>
      </c>
      <c r="K146" s="5">
        <v>0</v>
      </c>
      <c r="L146" t="str">
        <f t="shared" ref="L146" si="309">IFERROR(IF(K146*J146=0,"0",K146*J146),0)</f>
        <v>0</v>
      </c>
      <c r="M146" s="5">
        <v>0</v>
      </c>
      <c r="N146" t="str">
        <f t="shared" ref="N146" si="310">IF(M146*J146=0,"0",M146*J146)</f>
        <v>0</v>
      </c>
      <c r="O146" s="5">
        <v>1.2</v>
      </c>
      <c r="P146" s="5">
        <v>17.149999999999999</v>
      </c>
      <c r="Q146" s="5">
        <f t="shared" ref="Q146" si="311">P146*O146</f>
        <v>20.58</v>
      </c>
      <c r="R146" s="6">
        <f t="shared" ref="R146" si="312">IFERROR(Q146+N146+L146,"")</f>
        <v>20.58</v>
      </c>
    </row>
    <row r="147" spans="1:18" x14ac:dyDescent="0.25">
      <c r="A147" t="s">
        <v>28</v>
      </c>
      <c r="B147" t="str">
        <f t="shared" ref="B147" si="313">IF($G146="","Hide","Show")</f>
        <v>Show</v>
      </c>
      <c r="H147" t="str">
        <f>"24-15 oz"</f>
        <v>24-15 oz</v>
      </c>
    </row>
    <row r="148" spans="1:18" x14ac:dyDescent="0.25">
      <c r="A148" t="s">
        <v>28</v>
      </c>
      <c r="B148" t="str">
        <f t="shared" si="268"/>
        <v>Show</v>
      </c>
      <c r="E148" s="1"/>
      <c r="F148" t="str">
        <f>"""Ceres4"",""TCP-LIVE"",""27"",""1"",""P300038"""</f>
        <v>"Ceres4","TCP-LIVE","27","1","P300038"</v>
      </c>
      <c r="G148" t="str">
        <f>"P300038"</f>
        <v>P300038</v>
      </c>
      <c r="H148" t="str">
        <f>"Fruit - Crushed Pineapple"</f>
        <v>Fruit - Crushed Pineapple</v>
      </c>
      <c r="I148" s="5" t="str">
        <f>"CS"</f>
        <v>CS</v>
      </c>
      <c r="J148" s="5">
        <v>30</v>
      </c>
      <c r="K148" s="5">
        <v>0</v>
      </c>
      <c r="L148" t="str">
        <f t="shared" ref="L148" si="314">IFERROR(IF(K148*J148=0,"0",K148*J148),0)</f>
        <v>0</v>
      </c>
      <c r="M148" s="5">
        <v>0</v>
      </c>
      <c r="N148" t="str">
        <f t="shared" ref="N148" si="315">IF(M148*J148=0,"0",M148*J148)</f>
        <v>0</v>
      </c>
      <c r="O148" s="5">
        <v>1.1499999999999999</v>
      </c>
      <c r="P148" s="5">
        <v>18.59</v>
      </c>
      <c r="Q148" s="5">
        <f t="shared" ref="Q148" si="316">P148*O148</f>
        <v>21.378499999999999</v>
      </c>
      <c r="R148" s="6">
        <f t="shared" ref="R148" si="317">IFERROR(Q148+N148+L148,"")</f>
        <v>21.378499999999999</v>
      </c>
    </row>
    <row r="149" spans="1:18" x14ac:dyDescent="0.25">
      <c r="A149" t="s">
        <v>28</v>
      </c>
      <c r="B149" t="str">
        <f t="shared" ref="B149" si="318">IF($G148="","Hide","Show")</f>
        <v>Show</v>
      </c>
      <c r="H149" t="str">
        <f>"24-20 oz"</f>
        <v>24-20 oz</v>
      </c>
    </row>
    <row r="150" spans="1:18" x14ac:dyDescent="0.25">
      <c r="A150" t="s">
        <v>28</v>
      </c>
      <c r="B150" t="str">
        <f t="shared" si="268"/>
        <v>Show</v>
      </c>
      <c r="E150" s="1"/>
      <c r="F150" t="str">
        <f>"""Ceres4"",""TCP-LIVE"",""27"",""1"",""P319999"""</f>
        <v>"Ceres4","TCP-LIVE","27","1","P319999"</v>
      </c>
      <c r="G150" t="str">
        <f>"P319999"</f>
        <v>P319999</v>
      </c>
      <c r="H150" t="str">
        <f>"Vegetable- Yams"</f>
        <v>Vegetable- Yams</v>
      </c>
      <c r="I150" s="5" t="str">
        <f>"EA"</f>
        <v>EA</v>
      </c>
      <c r="J150" s="5">
        <v>1</v>
      </c>
      <c r="K150" s="5">
        <v>0</v>
      </c>
      <c r="L150" t="str">
        <f t="shared" ref="L150" si="319">IFERROR(IF(K150*J150=0,"0",K150*J150),0)</f>
        <v>0</v>
      </c>
      <c r="M150" s="5">
        <v>0</v>
      </c>
      <c r="N150" t="str">
        <f t="shared" ref="N150" si="320">IF(M150*J150=0,"0",M150*J150)</f>
        <v>0</v>
      </c>
      <c r="O150" s="5">
        <v>1.2</v>
      </c>
      <c r="P150" s="5">
        <v>0.97960999999999998</v>
      </c>
      <c r="Q150" s="5">
        <f t="shared" ref="Q150" si="321">P150*O150</f>
        <v>1.175532</v>
      </c>
      <c r="R150" s="6">
        <f t="shared" ref="R150" si="322">IFERROR(Q150+N150+L150,"")</f>
        <v>1.175532</v>
      </c>
    </row>
    <row r="151" spans="1:18" x14ac:dyDescent="0.25">
      <c r="A151" t="s">
        <v>28</v>
      </c>
      <c r="B151" t="str">
        <f t="shared" ref="B151" si="323">IF($G150="","Hide","Show")</f>
        <v>Show</v>
      </c>
      <c r="H151" t="str">
        <f>"1- 16 oz"</f>
        <v>1- 16 oz</v>
      </c>
    </row>
    <row r="152" spans="1:18" x14ac:dyDescent="0.25">
      <c r="A152" t="s">
        <v>28</v>
      </c>
      <c r="B152" t="str">
        <f t="shared" si="268"/>
        <v>Show</v>
      </c>
      <c r="E152" s="1"/>
      <c r="F152" t="str">
        <f>"""Ceres4"",""TCP-LIVE"",""27"",""1"",""P320008"""</f>
        <v>"Ceres4","TCP-LIVE","27","1","P320008"</v>
      </c>
      <c r="G152" t="str">
        <f>"P320008"</f>
        <v>P320008</v>
      </c>
      <c r="H152" t="str">
        <f>"Vegetable - Dhy hashbrown"</f>
        <v>Vegetable - Dhy hashbrown</v>
      </c>
      <c r="I152" s="5" t="str">
        <f>"BAG"</f>
        <v>BAG</v>
      </c>
      <c r="J152" s="5">
        <v>14</v>
      </c>
      <c r="K152" s="5">
        <v>0</v>
      </c>
      <c r="L152" t="str">
        <f t="shared" ref="L152" si="324">IFERROR(IF(K152*J152=0,"0",K152*J152),0)</f>
        <v>0</v>
      </c>
      <c r="M152" s="5">
        <v>0</v>
      </c>
      <c r="N152" t="str">
        <f t="shared" ref="N152" si="325">IF(M152*J152=0,"0",M152*J152)</f>
        <v>0</v>
      </c>
      <c r="O152" s="5">
        <v>1.1499999999999999</v>
      </c>
      <c r="P152" s="5">
        <v>40.39</v>
      </c>
      <c r="Q152" s="5">
        <f t="shared" ref="Q152" si="326">P152*O152</f>
        <v>46.448499999999996</v>
      </c>
      <c r="R152" s="6">
        <f t="shared" ref="R152" si="327">IFERROR(Q152+N152+L152,"")</f>
        <v>46.448499999999996</v>
      </c>
    </row>
    <row r="153" spans="1:18" x14ac:dyDescent="0.25">
      <c r="A153" t="s">
        <v>28</v>
      </c>
      <c r="B153" t="str">
        <f t="shared" ref="B153" si="328">IF($G152="","Hide","Show")</f>
        <v>Show</v>
      </c>
      <c r="H153" t="str">
        <f>"6-2.25"</f>
        <v>6-2.25</v>
      </c>
    </row>
    <row r="154" spans="1:18" x14ac:dyDescent="0.25">
      <c r="A154" t="s">
        <v>28</v>
      </c>
      <c r="B154" t="str">
        <f t="shared" ref="B154" si="329">IF($G130="","Hide","Show")</f>
        <v>Show</v>
      </c>
    </row>
    <row r="155" spans="1:18" ht="17.25" hidden="1" x14ac:dyDescent="0.3">
      <c r="A155" t="s">
        <v>28</v>
      </c>
      <c r="B155" t="str">
        <f t="shared" ref="B155" si="330">IF($G156="","Hide","Show")</f>
        <v>Hide</v>
      </c>
      <c r="C155" t="str">
        <f>"""Ceres4"",""TCP-LIVE"",""14012281"",""1"",""GRAIN"""</f>
        <v>"Ceres4","TCP-LIVE","14012281","1","GRAIN"</v>
      </c>
      <c r="D155" t="s">
        <v>42</v>
      </c>
      <c r="E155" s="9" t="s">
        <v>10</v>
      </c>
      <c r="F155" s="2"/>
      <c r="G155" s="8" t="s">
        <v>82</v>
      </c>
    </row>
    <row r="156" spans="1:18" hidden="1" x14ac:dyDescent="0.25">
      <c r="A156" t="s">
        <v>28</v>
      </c>
      <c r="B156" t="str">
        <f t="shared" ref="B156" si="331">IF($G156="","Hide","Show")</f>
        <v>Hide</v>
      </c>
      <c r="E156" s="1"/>
      <c r="F156" t="s">
        <v>29</v>
      </c>
      <c r="G156" t="s">
        <v>29</v>
      </c>
      <c r="H156" t="s">
        <v>29</v>
      </c>
      <c r="I156" s="5" t="s">
        <v>29</v>
      </c>
      <c r="J156" s="5" t="s">
        <v>29</v>
      </c>
      <c r="K156" s="5" t="s">
        <v>73</v>
      </c>
      <c r="L156">
        <f t="shared" ref="L156" si="332">IFERROR(IF(K156*J156=0,"0",K156*J156),0)</f>
        <v>0</v>
      </c>
      <c r="M156" s="5" t="s">
        <v>29</v>
      </c>
      <c r="N156" t="e">
        <f t="shared" ref="N156" si="333">IF(M156*J156=0,"0",M156*J156)</f>
        <v>#VALUE!</v>
      </c>
      <c r="O156" s="5" t="s">
        <v>29</v>
      </c>
      <c r="P156" s="5" t="s">
        <v>29</v>
      </c>
      <c r="Q156" s="5" t="e">
        <f t="shared" ref="Q156" si="334">P156*O156</f>
        <v>#VALUE!</v>
      </c>
      <c r="R156" s="6" t="str">
        <f t="shared" ref="R156" si="335">IFERROR(Q156+N156+L156,"")</f>
        <v/>
      </c>
    </row>
    <row r="157" spans="1:18" hidden="1" x14ac:dyDescent="0.25">
      <c r="A157" t="s">
        <v>28</v>
      </c>
      <c r="B157" t="str">
        <f t="shared" ref="B157" si="336">IF($G156="","Hide","Show")</f>
        <v>Hide</v>
      </c>
      <c r="H157" t="s">
        <v>29</v>
      </c>
    </row>
    <row r="158" spans="1:18" hidden="1" x14ac:dyDescent="0.25">
      <c r="A158" t="s">
        <v>28</v>
      </c>
      <c r="B158" t="str">
        <f t="shared" ref="B158" si="337">IF($G156="","Hide","Show")</f>
        <v>Hide</v>
      </c>
    </row>
    <row r="159" spans="1:18" ht="17.25" x14ac:dyDescent="0.3">
      <c r="A159" t="s">
        <v>28</v>
      </c>
      <c r="B159" t="str">
        <f t="shared" ref="B159" si="338">IF($G160="","Hide","Show")</f>
        <v>Show</v>
      </c>
      <c r="C159" t="str">
        <f>"""Ceres4"",""TCP-LIVE"",""14012281"",""1"",""HOUSE PAP"""</f>
        <v>"Ceres4","TCP-LIVE","14012281","1","HOUSE PAP"</v>
      </c>
      <c r="D159" t="s">
        <v>43</v>
      </c>
      <c r="E159" s="9" t="s">
        <v>10</v>
      </c>
      <c r="F159" s="2"/>
      <c r="G159" s="8" t="s">
        <v>83</v>
      </c>
    </row>
    <row r="160" spans="1:18" x14ac:dyDescent="0.25">
      <c r="A160" t="s">
        <v>28</v>
      </c>
      <c r="B160" t="str">
        <f t="shared" ref="B160" si="339">IF($G160="","Hide","Show")</f>
        <v>Show</v>
      </c>
      <c r="E160" s="1"/>
      <c r="F160" t="s">
        <v>139</v>
      </c>
      <c r="G160" t="s">
        <v>84</v>
      </c>
      <c r="H160" t="s">
        <v>112</v>
      </c>
      <c r="I160" s="5" t="s">
        <v>72</v>
      </c>
      <c r="J160" s="5">
        <v>8</v>
      </c>
      <c r="K160" s="5">
        <v>0</v>
      </c>
      <c r="L160" t="str">
        <f t="shared" ref="L160" si="340">IFERROR(IF(K160*J160=0,"0",K160*J160),0)</f>
        <v>0</v>
      </c>
      <c r="M160" s="5">
        <v>0</v>
      </c>
      <c r="N160" t="str">
        <f t="shared" ref="N160" si="341">IF(M160*J160=0,"0",M160*J160)</f>
        <v>0</v>
      </c>
      <c r="O160" s="5">
        <v>1.2</v>
      </c>
      <c r="P160" s="5">
        <v>14.27</v>
      </c>
      <c r="Q160" s="5">
        <f t="shared" ref="Q160" si="342">P160*O160</f>
        <v>17.123999999999999</v>
      </c>
      <c r="R160" s="6">
        <f t="shared" ref="R160" si="343">IFERROR(Q160+N160+L160,"")</f>
        <v>17.123999999999999</v>
      </c>
    </row>
    <row r="161" spans="1:18" x14ac:dyDescent="0.25">
      <c r="A161" t="s">
        <v>28</v>
      </c>
      <c r="B161" t="str">
        <f t="shared" ref="B161" si="344">IF($G160="","Hide","Show")</f>
        <v>Show</v>
      </c>
      <c r="H161" t="s">
        <v>113</v>
      </c>
    </row>
    <row r="162" spans="1:18" x14ac:dyDescent="0.25">
      <c r="A162" t="s">
        <v>28</v>
      </c>
      <c r="B162" t="str">
        <f t="shared" ref="B162" si="345">IF($G160="","Hide","Show")</f>
        <v>Show</v>
      </c>
    </row>
    <row r="163" spans="1:18" ht="17.25" x14ac:dyDescent="0.3">
      <c r="A163" t="s">
        <v>28</v>
      </c>
      <c r="B163" t="str">
        <f t="shared" ref="B163" si="346">IF($G164="","Hide","Show")</f>
        <v>Show</v>
      </c>
      <c r="C163" t="str">
        <f>"""Ceres4"",""TCP-LIVE"",""14012281"",""1"",""HOUSE/SAN"""</f>
        <v>"Ceres4","TCP-LIVE","14012281","1","HOUSE/SAN"</v>
      </c>
      <c r="D163" t="s">
        <v>44</v>
      </c>
      <c r="E163" s="9" t="s">
        <v>10</v>
      </c>
      <c r="F163" s="2"/>
      <c r="G163" s="8" t="s">
        <v>85</v>
      </c>
    </row>
    <row r="164" spans="1:18" x14ac:dyDescent="0.25">
      <c r="A164" t="s">
        <v>28</v>
      </c>
      <c r="B164" t="str">
        <f t="shared" ref="B164:B166" si="347">IF($G164="","Hide","Show")</f>
        <v>Show</v>
      </c>
      <c r="E164" s="1"/>
      <c r="F164" t="s">
        <v>140</v>
      </c>
      <c r="G164" t="s">
        <v>86</v>
      </c>
      <c r="H164" t="s">
        <v>114</v>
      </c>
      <c r="I164" s="5" t="s">
        <v>72</v>
      </c>
      <c r="J164" s="5">
        <v>10</v>
      </c>
      <c r="K164" s="5">
        <v>0</v>
      </c>
      <c r="L164" t="str">
        <f t="shared" ref="L164" si="348">IFERROR(IF(K164*J164=0,"0",K164*J164),0)</f>
        <v>0</v>
      </c>
      <c r="M164" s="5">
        <v>0</v>
      </c>
      <c r="N164" t="str">
        <f t="shared" ref="N164" si="349">IF(M164*J164=0,"0",M164*J164)</f>
        <v>0</v>
      </c>
      <c r="O164" s="5">
        <v>1.2</v>
      </c>
      <c r="P164" s="5">
        <v>16.670000000000002</v>
      </c>
      <c r="Q164" s="5">
        <f t="shared" ref="Q164" si="350">P164*O164</f>
        <v>20.004000000000001</v>
      </c>
      <c r="R164" s="6">
        <f t="shared" ref="R164" si="351">IFERROR(Q164+N164+L164,"")</f>
        <v>20.004000000000001</v>
      </c>
    </row>
    <row r="165" spans="1:18" x14ac:dyDescent="0.25">
      <c r="A165" t="s">
        <v>28</v>
      </c>
      <c r="B165" t="str">
        <f t="shared" ref="B165" si="352">IF($G164="","Hide","Show")</f>
        <v>Show</v>
      </c>
      <c r="H165" t="s">
        <v>115</v>
      </c>
    </row>
    <row r="166" spans="1:18" x14ac:dyDescent="0.25">
      <c r="A166" t="s">
        <v>28</v>
      </c>
      <c r="B166" t="str">
        <f t="shared" si="347"/>
        <v>Show</v>
      </c>
      <c r="E166" s="1"/>
      <c r="F166" t="str">
        <f>"""Ceres4"",""TCP-LIVE"",""27"",""1"",""P997003"""</f>
        <v>"Ceres4","TCP-LIVE","27","1","P997003"</v>
      </c>
      <c r="G166" t="s">
        <v>87</v>
      </c>
      <c r="H166" t="s">
        <v>116</v>
      </c>
      <c r="I166" s="5" t="s">
        <v>110</v>
      </c>
      <c r="J166" s="5">
        <v>14</v>
      </c>
      <c r="K166" s="5">
        <v>0</v>
      </c>
      <c r="L166" t="str">
        <f t="shared" ref="L166" si="353">IFERROR(IF(K166*J166=0,"0",K166*J166),0)</f>
        <v>0</v>
      </c>
      <c r="M166" s="5">
        <v>0</v>
      </c>
      <c r="N166" t="str">
        <f t="shared" ref="N166" si="354">IF(M166*J166=0,"0",M166*J166)</f>
        <v>0</v>
      </c>
      <c r="O166" s="5">
        <v>1.2</v>
      </c>
      <c r="P166" s="5">
        <v>32.799999999999997</v>
      </c>
      <c r="Q166" s="5">
        <f t="shared" ref="Q166" si="355">P166*O166</f>
        <v>39.359999999999992</v>
      </c>
      <c r="R166" s="6">
        <f t="shared" ref="R166" si="356">IFERROR(Q166+N166+L166,"")</f>
        <v>39.359999999999992</v>
      </c>
    </row>
    <row r="167" spans="1:18" x14ac:dyDescent="0.25">
      <c r="A167" t="s">
        <v>28</v>
      </c>
      <c r="B167" t="str">
        <f t="shared" ref="B167" si="357">IF($G166="","Hide","Show")</f>
        <v>Show</v>
      </c>
      <c r="H167" t="s">
        <v>117</v>
      </c>
    </row>
    <row r="168" spans="1:18" x14ac:dyDescent="0.25">
      <c r="A168" t="s">
        <v>28</v>
      </c>
      <c r="B168" t="str">
        <f t="shared" ref="B168" si="358">IF($G164="","Hide","Show")</f>
        <v>Show</v>
      </c>
    </row>
    <row r="169" spans="1:18" ht="17.25" hidden="1" x14ac:dyDescent="0.3">
      <c r="A169" t="s">
        <v>28</v>
      </c>
      <c r="B169" t="str">
        <f t="shared" ref="B169" si="359">IF($G170="","Hide","Show")</f>
        <v>Hide</v>
      </c>
      <c r="C169" t="str">
        <f>"""Ceres4"",""TCP-LIVE"",""14012281"",""1"",""JUICE"""</f>
        <v>"Ceres4","TCP-LIVE","14012281","1","JUICE"</v>
      </c>
      <c r="D169" t="s">
        <v>45</v>
      </c>
      <c r="E169" s="9" t="s">
        <v>10</v>
      </c>
      <c r="F169" s="2"/>
      <c r="G169" s="8" t="s">
        <v>88</v>
      </c>
    </row>
    <row r="170" spans="1:18" hidden="1" x14ac:dyDescent="0.25">
      <c r="A170" t="s">
        <v>28</v>
      </c>
      <c r="B170" t="str">
        <f t="shared" ref="B170" si="360">IF($G170="","Hide","Show")</f>
        <v>Hide</v>
      </c>
      <c r="E170" s="1"/>
      <c r="F170" t="s">
        <v>29</v>
      </c>
      <c r="G170" t="s">
        <v>29</v>
      </c>
      <c r="H170" t="s">
        <v>29</v>
      </c>
      <c r="I170" s="5" t="s">
        <v>29</v>
      </c>
      <c r="J170" s="5" t="s">
        <v>29</v>
      </c>
      <c r="K170" s="5" t="s">
        <v>73</v>
      </c>
      <c r="L170">
        <f t="shared" ref="L170" si="361">IFERROR(IF(K170*J170=0,"0",K170*J170),0)</f>
        <v>0</v>
      </c>
      <c r="M170" s="5" t="s">
        <v>29</v>
      </c>
      <c r="N170" t="e">
        <f t="shared" ref="N170" si="362">IF(M170*J170=0,"0",M170*J170)</f>
        <v>#VALUE!</v>
      </c>
      <c r="O170" s="5" t="s">
        <v>29</v>
      </c>
      <c r="P170" s="5" t="s">
        <v>29</v>
      </c>
      <c r="Q170" s="5" t="e">
        <f t="shared" ref="Q170" si="363">P170*O170</f>
        <v>#VALUE!</v>
      </c>
      <c r="R170" s="6" t="str">
        <f t="shared" ref="R170" si="364">IFERROR(Q170+N170+L170,"")</f>
        <v/>
      </c>
    </row>
    <row r="171" spans="1:18" hidden="1" x14ac:dyDescent="0.25">
      <c r="A171" t="s">
        <v>28</v>
      </c>
      <c r="B171" t="str">
        <f t="shared" ref="B171" si="365">IF($G170="","Hide","Show")</f>
        <v>Hide</v>
      </c>
      <c r="H171" t="s">
        <v>29</v>
      </c>
    </row>
    <row r="172" spans="1:18" hidden="1" x14ac:dyDescent="0.25">
      <c r="A172" t="s">
        <v>28</v>
      </c>
      <c r="B172" t="str">
        <f t="shared" ref="B172" si="366">IF($G170="","Hide","Show")</f>
        <v>Hide</v>
      </c>
    </row>
    <row r="173" spans="1:18" ht="17.25" x14ac:dyDescent="0.3">
      <c r="A173" t="s">
        <v>28</v>
      </c>
      <c r="B173" t="str">
        <f t="shared" ref="B173" si="367">IF($G174="","Hide","Show")</f>
        <v>Show</v>
      </c>
      <c r="C173" t="str">
        <f>"""Ceres4"",""TCP-LIVE"",""14012281"",""1"",""MIXED/ASST"""</f>
        <v>"Ceres4","TCP-LIVE","14012281","1","MIXED/ASST"</v>
      </c>
      <c r="D173" t="s">
        <v>46</v>
      </c>
      <c r="E173" s="9" t="s">
        <v>10</v>
      </c>
      <c r="F173" s="2"/>
      <c r="G173" s="8" t="s">
        <v>89</v>
      </c>
    </row>
    <row r="174" spans="1:18" x14ac:dyDescent="0.25">
      <c r="A174" t="s">
        <v>28</v>
      </c>
      <c r="B174" t="str">
        <f t="shared" ref="B174" si="368">IF($G174="","Hide","Show")</f>
        <v>Show</v>
      </c>
      <c r="E174" s="1"/>
      <c r="F174" t="s">
        <v>137</v>
      </c>
      <c r="G174" t="s">
        <v>90</v>
      </c>
      <c r="H174" t="s">
        <v>118</v>
      </c>
      <c r="I174" s="5" t="s">
        <v>111</v>
      </c>
      <c r="J174" s="5">
        <v>700</v>
      </c>
      <c r="K174" s="5">
        <v>0.19</v>
      </c>
      <c r="L174">
        <f t="shared" ref="L174" si="369">IFERROR(IF(K174*J174=0,"0",K174*J174),0)</f>
        <v>133</v>
      </c>
      <c r="M174" s="5">
        <v>0</v>
      </c>
      <c r="N174" t="str">
        <f t="shared" ref="N174" si="370">IF(M174*J174=0,"0",M174*J174)</f>
        <v>0</v>
      </c>
      <c r="O174" s="5">
        <v>1</v>
      </c>
      <c r="P174" s="5">
        <v>0</v>
      </c>
      <c r="Q174" s="5">
        <f t="shared" ref="Q174" si="371">P174*O174</f>
        <v>0</v>
      </c>
      <c r="R174" s="6">
        <f t="shared" ref="R174" si="372">IFERROR(Q174+N174+L174,"")</f>
        <v>133</v>
      </c>
    </row>
    <row r="175" spans="1:18" x14ac:dyDescent="0.25">
      <c r="A175" t="s">
        <v>28</v>
      </c>
      <c r="B175" t="str">
        <f t="shared" ref="B175" si="373">IF($G174="","Hide","Show")</f>
        <v>Show</v>
      </c>
      <c r="H175" t="s">
        <v>119</v>
      </c>
    </row>
    <row r="176" spans="1:18" x14ac:dyDescent="0.25">
      <c r="A176" t="s">
        <v>28</v>
      </c>
      <c r="B176" t="str">
        <f t="shared" ref="B176" si="374">IF($G174="","Hide","Show")</f>
        <v>Show</v>
      </c>
    </row>
    <row r="177" spans="1:18" ht="17.25" hidden="1" x14ac:dyDescent="0.3">
      <c r="A177" t="s">
        <v>28</v>
      </c>
      <c r="B177" t="str">
        <f t="shared" ref="B177" si="375">IF($G178="","Hide","Show")</f>
        <v>Hide</v>
      </c>
      <c r="C177" t="str">
        <f>"""Ceres4"",""TCP-LIVE"",""14012281"",""1"",""NF"""</f>
        <v>"Ceres4","TCP-LIVE","14012281","1","NF"</v>
      </c>
      <c r="D177" t="s">
        <v>47</v>
      </c>
      <c r="E177" s="9" t="s">
        <v>10</v>
      </c>
      <c r="F177" s="2"/>
      <c r="G177" s="8" t="s">
        <v>91</v>
      </c>
    </row>
    <row r="178" spans="1:18" hidden="1" x14ac:dyDescent="0.25">
      <c r="A178" t="s">
        <v>28</v>
      </c>
      <c r="B178" t="str">
        <f t="shared" ref="B178" si="376">IF($G178="","Hide","Show")</f>
        <v>Hide</v>
      </c>
      <c r="E178" s="1"/>
      <c r="F178" t="s">
        <v>29</v>
      </c>
      <c r="G178" t="s">
        <v>29</v>
      </c>
      <c r="H178" t="s">
        <v>29</v>
      </c>
      <c r="I178" s="5" t="s">
        <v>29</v>
      </c>
      <c r="J178" s="5" t="s">
        <v>29</v>
      </c>
      <c r="K178" s="5" t="s">
        <v>73</v>
      </c>
      <c r="L178">
        <f t="shared" ref="L178" si="377">IFERROR(IF(K178*J178=0,"0",K178*J178),0)</f>
        <v>0</v>
      </c>
      <c r="M178" s="5" t="s">
        <v>29</v>
      </c>
      <c r="N178" t="e">
        <f t="shared" ref="N178" si="378">IF(M178*J178=0,"0",M178*J178)</f>
        <v>#VALUE!</v>
      </c>
      <c r="O178" s="5" t="s">
        <v>29</v>
      </c>
      <c r="P178" s="5" t="s">
        <v>29</v>
      </c>
      <c r="Q178" s="5" t="e">
        <f t="shared" ref="Q178" si="379">P178*O178</f>
        <v>#VALUE!</v>
      </c>
      <c r="R178" s="6" t="str">
        <f t="shared" ref="R178" si="380">IFERROR(Q178+N178+L178,"")</f>
        <v/>
      </c>
    </row>
    <row r="179" spans="1:18" hidden="1" x14ac:dyDescent="0.25">
      <c r="A179" t="s">
        <v>28</v>
      </c>
      <c r="B179" t="str">
        <f t="shared" ref="B179" si="381">IF($G178="","Hide","Show")</f>
        <v>Hide</v>
      </c>
      <c r="H179" t="s">
        <v>29</v>
      </c>
    </row>
    <row r="180" spans="1:18" hidden="1" x14ac:dyDescent="0.25">
      <c r="A180" t="s">
        <v>28</v>
      </c>
      <c r="B180" t="str">
        <f t="shared" ref="B180" si="382">IF($G178="","Hide","Show")</f>
        <v>Hide</v>
      </c>
    </row>
    <row r="181" spans="1:18" ht="17.25" hidden="1" x14ac:dyDescent="0.3">
      <c r="A181" t="s">
        <v>28</v>
      </c>
      <c r="B181" t="str">
        <f t="shared" ref="B181" si="383">IF($G182="","Hide","Show")</f>
        <v>Hide</v>
      </c>
      <c r="C181" t="str">
        <f>"""Ceres4"",""TCP-LIVE"",""14012281"",""1"",""NONDAIRY"""</f>
        <v>"Ceres4","TCP-LIVE","14012281","1","NONDAIRY"</v>
      </c>
      <c r="D181" t="s">
        <v>48</v>
      </c>
      <c r="E181" s="9" t="s">
        <v>10</v>
      </c>
      <c r="F181" s="2"/>
      <c r="G181" s="8" t="s">
        <v>92</v>
      </c>
    </row>
    <row r="182" spans="1:18" hidden="1" x14ac:dyDescent="0.25">
      <c r="A182" t="s">
        <v>28</v>
      </c>
      <c r="B182" t="str">
        <f t="shared" ref="B182" si="384">IF($G182="","Hide","Show")</f>
        <v>Hide</v>
      </c>
      <c r="E182" s="1"/>
      <c r="F182" t="s">
        <v>29</v>
      </c>
      <c r="G182" t="s">
        <v>29</v>
      </c>
      <c r="H182" t="s">
        <v>29</v>
      </c>
      <c r="I182" s="5" t="s">
        <v>29</v>
      </c>
      <c r="J182" s="5" t="s">
        <v>29</v>
      </c>
      <c r="K182" s="5" t="s">
        <v>73</v>
      </c>
      <c r="L182">
        <f t="shared" ref="L182" si="385">IFERROR(IF(K182*J182=0,"0",K182*J182),0)</f>
        <v>0</v>
      </c>
      <c r="M182" s="5" t="s">
        <v>29</v>
      </c>
      <c r="N182" t="e">
        <f t="shared" ref="N182" si="386">IF(M182*J182=0,"0",M182*J182)</f>
        <v>#VALUE!</v>
      </c>
      <c r="O182" s="5" t="s">
        <v>29</v>
      </c>
      <c r="P182" s="5" t="s">
        <v>29</v>
      </c>
      <c r="Q182" s="5" t="e">
        <f t="shared" ref="Q182" si="387">P182*O182</f>
        <v>#VALUE!</v>
      </c>
      <c r="R182" s="6" t="str">
        <f t="shared" ref="R182" si="388">IFERROR(Q182+N182+L182,"")</f>
        <v/>
      </c>
    </row>
    <row r="183" spans="1:18" hidden="1" x14ac:dyDescent="0.25">
      <c r="A183" t="s">
        <v>28</v>
      </c>
      <c r="B183" t="str">
        <f t="shared" ref="B183" si="389">IF($G182="","Hide","Show")</f>
        <v>Hide</v>
      </c>
      <c r="H183" t="s">
        <v>29</v>
      </c>
    </row>
    <row r="184" spans="1:18" hidden="1" x14ac:dyDescent="0.25">
      <c r="A184" t="s">
        <v>28</v>
      </c>
      <c r="B184" t="str">
        <f t="shared" ref="B184" si="390">IF($G182="","Hide","Show")</f>
        <v>Hide</v>
      </c>
    </row>
    <row r="185" spans="1:18" ht="17.25" hidden="1" x14ac:dyDescent="0.3">
      <c r="A185" t="s">
        <v>28</v>
      </c>
      <c r="B185" t="str">
        <f t="shared" ref="B185" si="391">IF($G186="","Hide","Show")</f>
        <v>Hide</v>
      </c>
      <c r="C185" t="str">
        <f>"""Ceres4"",""TCP-LIVE"",""14012281"",""1"",""NUTRITION"""</f>
        <v>"Ceres4","TCP-LIVE","14012281","1","NUTRITION"</v>
      </c>
      <c r="D185" t="s">
        <v>49</v>
      </c>
      <c r="E185" s="9" t="s">
        <v>10</v>
      </c>
      <c r="F185" s="2"/>
      <c r="G185" s="8" t="s">
        <v>93</v>
      </c>
    </row>
    <row r="186" spans="1:18" hidden="1" x14ac:dyDescent="0.25">
      <c r="A186" t="s">
        <v>28</v>
      </c>
      <c r="B186" t="str">
        <f t="shared" ref="B186" si="392">IF($G186="","Hide","Show")</f>
        <v>Hide</v>
      </c>
      <c r="E186" s="1"/>
      <c r="F186" t="s">
        <v>29</v>
      </c>
      <c r="G186" t="s">
        <v>29</v>
      </c>
      <c r="H186" t="s">
        <v>29</v>
      </c>
      <c r="I186" s="5" t="s">
        <v>29</v>
      </c>
      <c r="J186" s="5" t="s">
        <v>29</v>
      </c>
      <c r="K186" s="5" t="s">
        <v>73</v>
      </c>
      <c r="L186">
        <f t="shared" ref="L186" si="393">IFERROR(IF(K186*J186=0,"0",K186*J186),0)</f>
        <v>0</v>
      </c>
      <c r="M186" s="5" t="s">
        <v>29</v>
      </c>
      <c r="N186" t="e">
        <f t="shared" ref="N186" si="394">IF(M186*J186=0,"0",M186*J186)</f>
        <v>#VALUE!</v>
      </c>
      <c r="O186" s="5" t="s">
        <v>29</v>
      </c>
      <c r="P186" s="5" t="s">
        <v>29</v>
      </c>
      <c r="Q186" s="5" t="e">
        <f t="shared" ref="Q186" si="395">P186*O186</f>
        <v>#VALUE!</v>
      </c>
      <c r="R186" s="6" t="str">
        <f t="shared" ref="R186" si="396">IFERROR(Q186+N186+L186,"")</f>
        <v/>
      </c>
    </row>
    <row r="187" spans="1:18" hidden="1" x14ac:dyDescent="0.25">
      <c r="A187" t="s">
        <v>28</v>
      </c>
      <c r="B187" t="str">
        <f t="shared" ref="B187" si="397">IF($G186="","Hide","Show")</f>
        <v>Hide</v>
      </c>
      <c r="H187" t="s">
        <v>29</v>
      </c>
    </row>
    <row r="188" spans="1:18" hidden="1" x14ac:dyDescent="0.25">
      <c r="A188" t="s">
        <v>28</v>
      </c>
      <c r="B188" t="str">
        <f t="shared" ref="B188" si="398">IF($G186="","Hide","Show")</f>
        <v>Hide</v>
      </c>
    </row>
    <row r="189" spans="1:18" ht="17.25" hidden="1" x14ac:dyDescent="0.3">
      <c r="A189" t="s">
        <v>28</v>
      </c>
      <c r="B189" t="str">
        <f t="shared" ref="B189" si="399">IF($G190="","Hide","Show")</f>
        <v>Hide</v>
      </c>
      <c r="C189" t="str">
        <f>"""Ceres4"",""TCP-LIVE"",""14012281"",""1"",""OTC"""</f>
        <v>"Ceres4","TCP-LIVE","14012281","1","OTC"</v>
      </c>
      <c r="D189" t="s">
        <v>50</v>
      </c>
      <c r="E189" s="9" t="s">
        <v>10</v>
      </c>
      <c r="F189" s="2"/>
      <c r="G189" s="8" t="s">
        <v>94</v>
      </c>
    </row>
    <row r="190" spans="1:18" hidden="1" x14ac:dyDescent="0.25">
      <c r="A190" t="s">
        <v>28</v>
      </c>
      <c r="B190" t="str">
        <f t="shared" ref="B190" si="400">IF($G190="","Hide","Show")</f>
        <v>Hide</v>
      </c>
      <c r="E190" s="1"/>
      <c r="F190" t="s">
        <v>29</v>
      </c>
      <c r="G190" t="s">
        <v>29</v>
      </c>
      <c r="H190" t="s">
        <v>29</v>
      </c>
      <c r="I190" s="5" t="s">
        <v>29</v>
      </c>
      <c r="J190" s="5" t="s">
        <v>29</v>
      </c>
      <c r="K190" s="5" t="s">
        <v>73</v>
      </c>
      <c r="L190">
        <f t="shared" ref="L190" si="401">IFERROR(IF(K190*J190=0,"0",K190*J190),0)</f>
        <v>0</v>
      </c>
      <c r="M190" s="5" t="s">
        <v>29</v>
      </c>
      <c r="N190" t="e">
        <f t="shared" ref="N190" si="402">IF(M190*J190=0,"0",M190*J190)</f>
        <v>#VALUE!</v>
      </c>
      <c r="O190" s="5" t="s">
        <v>29</v>
      </c>
      <c r="P190" s="5" t="s">
        <v>29</v>
      </c>
      <c r="Q190" s="5" t="e">
        <f t="shared" ref="Q190" si="403">P190*O190</f>
        <v>#VALUE!</v>
      </c>
      <c r="R190" s="6" t="str">
        <f t="shared" ref="R190" si="404">IFERROR(Q190+N190+L190,"")</f>
        <v/>
      </c>
    </row>
    <row r="191" spans="1:18" hidden="1" x14ac:dyDescent="0.25">
      <c r="A191" t="s">
        <v>28</v>
      </c>
      <c r="B191" t="str">
        <f t="shared" ref="B191" si="405">IF($G190="","Hide","Show")</f>
        <v>Hide</v>
      </c>
      <c r="H191" t="s">
        <v>29</v>
      </c>
    </row>
    <row r="192" spans="1:18" hidden="1" x14ac:dyDescent="0.25">
      <c r="A192" t="s">
        <v>28</v>
      </c>
      <c r="B192" t="str">
        <f t="shared" ref="B192" si="406">IF($G190="","Hide","Show")</f>
        <v>Hide</v>
      </c>
    </row>
    <row r="193" spans="1:18" ht="17.25" x14ac:dyDescent="0.3">
      <c r="A193" t="s">
        <v>28</v>
      </c>
      <c r="B193" t="str">
        <f t="shared" ref="B193" si="407">IF($G194="","Hide","Show")</f>
        <v>Show</v>
      </c>
      <c r="C193" t="str">
        <f>"""Ceres4"",""TCP-LIVE"",""14012281"",""1"",""PASTA"""</f>
        <v>"Ceres4","TCP-LIVE","14012281","1","PASTA"</v>
      </c>
      <c r="D193" t="s">
        <v>51</v>
      </c>
      <c r="E193" s="9" t="s">
        <v>10</v>
      </c>
      <c r="F193" s="2"/>
      <c r="G193" s="8" t="s">
        <v>95</v>
      </c>
    </row>
    <row r="194" spans="1:18" x14ac:dyDescent="0.25">
      <c r="A194" t="s">
        <v>28</v>
      </c>
      <c r="B194" t="str">
        <f t="shared" ref="B194:B200" si="408">IF($G194="","Hide","Show")</f>
        <v>Show</v>
      </c>
      <c r="E194" s="1"/>
      <c r="F194" t="s">
        <v>138</v>
      </c>
      <c r="G194" t="s">
        <v>96</v>
      </c>
      <c r="H194" t="s">
        <v>120</v>
      </c>
      <c r="I194" s="5" t="s">
        <v>72</v>
      </c>
      <c r="J194" s="5">
        <v>14</v>
      </c>
      <c r="K194" s="5">
        <v>0</v>
      </c>
      <c r="L194" t="str">
        <f t="shared" ref="L194" si="409">IFERROR(IF(K194*J194=0,"0",K194*J194),0)</f>
        <v>0</v>
      </c>
      <c r="M194" s="5">
        <v>0</v>
      </c>
      <c r="N194" t="str">
        <f t="shared" ref="N194" si="410">IF(M194*J194=0,"0",M194*J194)</f>
        <v>0</v>
      </c>
      <c r="O194" s="5">
        <v>1.2</v>
      </c>
      <c r="P194" s="5">
        <v>9.23</v>
      </c>
      <c r="Q194" s="5">
        <f t="shared" ref="Q194" si="411">P194*O194</f>
        <v>11.076000000000001</v>
      </c>
      <c r="R194" s="6">
        <f t="shared" ref="R194" si="412">IFERROR(Q194+N194+L194,"")</f>
        <v>11.076000000000001</v>
      </c>
    </row>
    <row r="195" spans="1:18" x14ac:dyDescent="0.25">
      <c r="A195" t="s">
        <v>28</v>
      </c>
      <c r="B195" t="str">
        <f t="shared" ref="B195" si="413">IF($G194="","Hide","Show")</f>
        <v>Show</v>
      </c>
      <c r="H195" t="s">
        <v>121</v>
      </c>
    </row>
    <row r="196" spans="1:18" x14ac:dyDescent="0.25">
      <c r="A196" t="s">
        <v>28</v>
      </c>
      <c r="B196" t="str">
        <f t="shared" si="408"/>
        <v>Show</v>
      </c>
      <c r="E196" s="1"/>
      <c r="F196" t="str">
        <f>"""Ceres4"",""TCP-LIVE"",""27"",""1"",""P650007"""</f>
        <v>"Ceres4","TCP-LIVE","27","1","P650007"</v>
      </c>
      <c r="G196" t="s">
        <v>97</v>
      </c>
      <c r="H196" t="s">
        <v>122</v>
      </c>
      <c r="I196" s="5" t="s">
        <v>72</v>
      </c>
      <c r="J196" s="5">
        <v>24</v>
      </c>
      <c r="K196" s="5">
        <v>0</v>
      </c>
      <c r="L196" t="str">
        <f t="shared" ref="L196" si="414">IFERROR(IF(K196*J196=0,"0",K196*J196),0)</f>
        <v>0</v>
      </c>
      <c r="M196" s="5">
        <v>0</v>
      </c>
      <c r="N196" t="str">
        <f t="shared" ref="N196" si="415">IF(M196*J196=0,"0",M196*J196)</f>
        <v>0</v>
      </c>
      <c r="O196" s="5">
        <v>1.2</v>
      </c>
      <c r="P196" s="5">
        <v>11.87</v>
      </c>
      <c r="Q196" s="5">
        <f t="shared" ref="Q196" si="416">P196*O196</f>
        <v>14.243999999999998</v>
      </c>
      <c r="R196" s="6">
        <f t="shared" ref="R196" si="417">IFERROR(Q196+N196+L196,"")</f>
        <v>14.243999999999998</v>
      </c>
    </row>
    <row r="197" spans="1:18" x14ac:dyDescent="0.25">
      <c r="A197" t="s">
        <v>28</v>
      </c>
      <c r="B197" t="str">
        <f t="shared" ref="B197" si="418">IF($G196="","Hide","Show")</f>
        <v>Show</v>
      </c>
      <c r="H197" t="s">
        <v>123</v>
      </c>
    </row>
    <row r="198" spans="1:18" x14ac:dyDescent="0.25">
      <c r="A198" t="s">
        <v>28</v>
      </c>
      <c r="B198" t="str">
        <f t="shared" si="408"/>
        <v>Show</v>
      </c>
      <c r="E198" s="1"/>
      <c r="F198" t="str">
        <f>"""Ceres4"",""TCP-LIVE"",""27"",""1"",""P650012"""</f>
        <v>"Ceres4","TCP-LIVE","27","1","P650012"</v>
      </c>
      <c r="G198" t="s">
        <v>98</v>
      </c>
      <c r="H198" t="s">
        <v>124</v>
      </c>
      <c r="I198" s="5" t="s">
        <v>72</v>
      </c>
      <c r="J198" s="5">
        <v>24</v>
      </c>
      <c r="K198" s="5">
        <v>0</v>
      </c>
      <c r="L198" t="str">
        <f t="shared" ref="L198" si="419">IFERROR(IF(K198*J198=0,"0",K198*J198),0)</f>
        <v>0</v>
      </c>
      <c r="M198" s="5">
        <v>0</v>
      </c>
      <c r="N198" t="str">
        <f t="shared" ref="N198" si="420">IF(M198*J198=0,"0",M198*J198)</f>
        <v>0</v>
      </c>
      <c r="O198" s="5">
        <v>1.1499999999999999</v>
      </c>
      <c r="P198" s="5">
        <v>11.87</v>
      </c>
      <c r="Q198" s="5">
        <f t="shared" ref="Q198" si="421">P198*O198</f>
        <v>13.650499999999997</v>
      </c>
      <c r="R198" s="6">
        <f t="shared" ref="R198" si="422">IFERROR(Q198+N198+L198,"")</f>
        <v>13.650499999999997</v>
      </c>
    </row>
    <row r="199" spans="1:18" x14ac:dyDescent="0.25">
      <c r="A199" t="s">
        <v>28</v>
      </c>
      <c r="B199" t="str">
        <f t="shared" ref="B199" si="423">IF($G198="","Hide","Show")</f>
        <v>Show</v>
      </c>
      <c r="H199" t="s">
        <v>123</v>
      </c>
    </row>
    <row r="200" spans="1:18" x14ac:dyDescent="0.25">
      <c r="A200" t="s">
        <v>28</v>
      </c>
      <c r="B200" t="str">
        <f t="shared" si="408"/>
        <v>Show</v>
      </c>
      <c r="E200" s="1"/>
      <c r="F200" t="str">
        <f>"""Ceres4"",""TCP-LIVE"",""27"",""1"",""P650029"""</f>
        <v>"Ceres4","TCP-LIVE","27","1","P650029"</v>
      </c>
      <c r="G200" t="s">
        <v>99</v>
      </c>
      <c r="H200" t="s">
        <v>125</v>
      </c>
      <c r="I200" s="5" t="s">
        <v>72</v>
      </c>
      <c r="J200" s="5">
        <v>24</v>
      </c>
      <c r="K200" s="5">
        <v>0</v>
      </c>
      <c r="L200" t="str">
        <f t="shared" ref="L200" si="424">IFERROR(IF(K200*J200=0,"0",K200*J200),0)</f>
        <v>0</v>
      </c>
      <c r="M200" s="5">
        <v>0</v>
      </c>
      <c r="N200" t="str">
        <f t="shared" ref="N200" si="425">IF(M200*J200=0,"0",M200*J200)</f>
        <v>0</v>
      </c>
      <c r="O200" s="5">
        <v>1.1499999999999999</v>
      </c>
      <c r="P200" s="5">
        <v>11.85</v>
      </c>
      <c r="Q200" s="5">
        <f t="shared" ref="Q200" si="426">P200*O200</f>
        <v>13.627499999999998</v>
      </c>
      <c r="R200" s="6">
        <f t="shared" ref="R200" si="427">IFERROR(Q200+N200+L200,"")</f>
        <v>13.627499999999998</v>
      </c>
    </row>
    <row r="201" spans="1:18" x14ac:dyDescent="0.25">
      <c r="A201" t="s">
        <v>28</v>
      </c>
      <c r="B201" t="str">
        <f t="shared" ref="B201" si="428">IF($G200="","Hide","Show")</f>
        <v>Show</v>
      </c>
      <c r="H201" t="s">
        <v>123</v>
      </c>
    </row>
    <row r="202" spans="1:18" x14ac:dyDescent="0.25">
      <c r="A202" t="s">
        <v>28</v>
      </c>
      <c r="B202" t="str">
        <f t="shared" ref="B202" si="429">IF($G194="","Hide","Show")</f>
        <v>Show</v>
      </c>
    </row>
    <row r="203" spans="1:18" ht="17.25" x14ac:dyDescent="0.3">
      <c r="A203" t="s">
        <v>28</v>
      </c>
      <c r="B203" t="str">
        <f t="shared" ref="B203" si="430">IF($G204="","Hide","Show")</f>
        <v>Show</v>
      </c>
      <c r="C203" t="str">
        <f>"""Ceres4"",""TCP-LIVE"",""14012281"",""1"",""PASTRY"""</f>
        <v>"Ceres4","TCP-LIVE","14012281","1","PASTRY"</v>
      </c>
      <c r="D203" t="s">
        <v>52</v>
      </c>
      <c r="E203" s="9" t="s">
        <v>10</v>
      </c>
      <c r="F203" s="2"/>
      <c r="G203" s="8" t="s">
        <v>100</v>
      </c>
    </row>
    <row r="204" spans="1:18" x14ac:dyDescent="0.25">
      <c r="A204" t="s">
        <v>28</v>
      </c>
      <c r="B204" t="str">
        <f t="shared" ref="B204:B206" si="431">IF($G204="","Hide","Show")</f>
        <v>Show</v>
      </c>
      <c r="E204" s="1"/>
      <c r="F204" t="s">
        <v>136</v>
      </c>
      <c r="G204" t="s">
        <v>101</v>
      </c>
      <c r="H204" t="s">
        <v>126</v>
      </c>
      <c r="I204" s="5" t="s">
        <v>72</v>
      </c>
      <c r="J204" s="5">
        <v>31</v>
      </c>
      <c r="K204" s="5">
        <v>0.19</v>
      </c>
      <c r="L204">
        <f t="shared" ref="L204" si="432">IFERROR(IF(K204*J204=0,"0",K204*J204),0)</f>
        <v>5.89</v>
      </c>
      <c r="M204" s="5">
        <v>0</v>
      </c>
      <c r="N204" t="str">
        <f t="shared" ref="N204" si="433">IF(M204*J204=0,"0",M204*J204)</f>
        <v>0</v>
      </c>
      <c r="O204" s="5">
        <v>1</v>
      </c>
      <c r="P204" s="5">
        <v>0</v>
      </c>
      <c r="Q204" s="5">
        <f t="shared" ref="Q204" si="434">P204*O204</f>
        <v>0</v>
      </c>
      <c r="R204" s="6">
        <f t="shared" ref="R204" si="435">IFERROR(Q204+N204+L204,"")</f>
        <v>5.89</v>
      </c>
    </row>
    <row r="205" spans="1:18" x14ac:dyDescent="0.25">
      <c r="A205" t="s">
        <v>28</v>
      </c>
      <c r="B205" t="str">
        <f t="shared" ref="B205" si="436">IF($G204="","Hide","Show")</f>
        <v>Show</v>
      </c>
      <c r="H205" t="s">
        <v>127</v>
      </c>
    </row>
    <row r="206" spans="1:18" x14ac:dyDescent="0.25">
      <c r="A206" t="s">
        <v>28</v>
      </c>
      <c r="B206" t="str">
        <f t="shared" si="431"/>
        <v>Show</v>
      </c>
      <c r="E206" s="1"/>
      <c r="F206" t="str">
        <f>"""Ceres4"",""TCP-LIVE"",""27"",""1"",""550066"""</f>
        <v>"Ceres4","TCP-LIVE","27","1","550066"</v>
      </c>
      <c r="G206" t="s">
        <v>102</v>
      </c>
      <c r="H206" t="s">
        <v>128</v>
      </c>
      <c r="I206" s="5" t="s">
        <v>72</v>
      </c>
      <c r="J206" s="5">
        <v>5</v>
      </c>
      <c r="K206" s="5">
        <v>0.19</v>
      </c>
      <c r="L206">
        <f t="shared" ref="L206" si="437">IFERROR(IF(K206*J206=0,"0",K206*J206),0)</f>
        <v>0.95</v>
      </c>
      <c r="M206" s="5">
        <v>0</v>
      </c>
      <c r="N206" t="str">
        <f t="shared" ref="N206" si="438">IF(M206*J206=0,"0",M206*J206)</f>
        <v>0</v>
      </c>
      <c r="O206" s="5">
        <v>1</v>
      </c>
      <c r="P206" s="5">
        <v>0</v>
      </c>
      <c r="Q206" s="5">
        <f t="shared" ref="Q206" si="439">P206*O206</f>
        <v>0</v>
      </c>
      <c r="R206" s="6">
        <f t="shared" ref="R206" si="440">IFERROR(Q206+N206+L206,"")</f>
        <v>0.95</v>
      </c>
    </row>
    <row r="207" spans="1:18" x14ac:dyDescent="0.25">
      <c r="A207" t="s">
        <v>28</v>
      </c>
      <c r="B207" t="str">
        <f t="shared" ref="B207" si="441">IF($G206="","Hide","Show")</f>
        <v>Show</v>
      </c>
      <c r="H207" t="s">
        <v>129</v>
      </c>
    </row>
    <row r="208" spans="1:18" x14ac:dyDescent="0.25">
      <c r="A208" t="s">
        <v>28</v>
      </c>
      <c r="B208" t="str">
        <f t="shared" ref="B208" si="442">IF($G204="","Hide","Show")</f>
        <v>Show</v>
      </c>
    </row>
    <row r="209" spans="1:18" ht="17.25" hidden="1" x14ac:dyDescent="0.3">
      <c r="A209" t="s">
        <v>28</v>
      </c>
      <c r="B209" t="str">
        <f t="shared" ref="B209" si="443">IF($G210="","Hide","Show")</f>
        <v>Hide</v>
      </c>
      <c r="C209" t="str">
        <f>"""Ceres4"",""TCP-LIVE"",""14012281"",""1"",""PER PAP"""</f>
        <v>"Ceres4","TCP-LIVE","14012281","1","PER PAP"</v>
      </c>
      <c r="D209" t="s">
        <v>53</v>
      </c>
      <c r="E209" s="9" t="s">
        <v>10</v>
      </c>
      <c r="F209" s="2"/>
      <c r="G209" s="8" t="s">
        <v>103</v>
      </c>
    </row>
    <row r="210" spans="1:18" hidden="1" x14ac:dyDescent="0.25">
      <c r="A210" t="s">
        <v>28</v>
      </c>
      <c r="B210" t="str">
        <f t="shared" ref="B210" si="444">IF($G210="","Hide","Show")</f>
        <v>Hide</v>
      </c>
      <c r="E210" s="1"/>
      <c r="F210" t="s">
        <v>29</v>
      </c>
      <c r="G210" t="s">
        <v>29</v>
      </c>
      <c r="H210" t="s">
        <v>29</v>
      </c>
      <c r="I210" s="5" t="s">
        <v>29</v>
      </c>
      <c r="J210" s="5" t="s">
        <v>29</v>
      </c>
      <c r="K210" s="5" t="s">
        <v>73</v>
      </c>
      <c r="L210">
        <f t="shared" ref="L210" si="445">IFERROR(IF(K210*J210=0,"0",K210*J210),0)</f>
        <v>0</v>
      </c>
      <c r="M210" s="5" t="s">
        <v>29</v>
      </c>
      <c r="N210" t="e">
        <f t="shared" ref="N210" si="446">IF(M210*J210=0,"0",M210*J210)</f>
        <v>#VALUE!</v>
      </c>
      <c r="O210" s="5" t="s">
        <v>29</v>
      </c>
      <c r="P210" s="5" t="s">
        <v>29</v>
      </c>
      <c r="Q210" s="5" t="e">
        <f t="shared" ref="Q210" si="447">P210*O210</f>
        <v>#VALUE!</v>
      </c>
      <c r="R210" s="6" t="str">
        <f t="shared" ref="R210" si="448">IFERROR(Q210+N210+L210,"")</f>
        <v/>
      </c>
    </row>
    <row r="211" spans="1:18" hidden="1" x14ac:dyDescent="0.25">
      <c r="A211" t="s">
        <v>28</v>
      </c>
      <c r="B211" t="str">
        <f t="shared" ref="B211" si="449">IF($G210="","Hide","Show")</f>
        <v>Hide</v>
      </c>
      <c r="H211" t="s">
        <v>29</v>
      </c>
    </row>
    <row r="212" spans="1:18" hidden="1" x14ac:dyDescent="0.25">
      <c r="A212" t="s">
        <v>28</v>
      </c>
      <c r="B212" t="str">
        <f t="shared" ref="B212" si="450">IF($G210="","Hide","Show")</f>
        <v>Hide</v>
      </c>
    </row>
    <row r="213" spans="1:18" ht="17.25" x14ac:dyDescent="0.3">
      <c r="A213" t="s">
        <v>28</v>
      </c>
      <c r="B213" t="str">
        <f t="shared" ref="B213" si="451">IF($G214="","Hide","Show")</f>
        <v>Show</v>
      </c>
      <c r="C213" t="str">
        <f>"""Ceres4"",""TCP-LIVE"",""14012281"",""1"",""PERSONAL"""</f>
        <v>"Ceres4","TCP-LIVE","14012281","1","PERSONAL"</v>
      </c>
      <c r="D213" t="s">
        <v>54</v>
      </c>
      <c r="E213" s="9" t="s">
        <v>10</v>
      </c>
      <c r="F213" s="2"/>
      <c r="G213" s="8" t="s">
        <v>104</v>
      </c>
    </row>
    <row r="214" spans="1:18" x14ac:dyDescent="0.25">
      <c r="A214" t="s">
        <v>28</v>
      </c>
      <c r="B214" t="str">
        <f t="shared" ref="B214:B216" si="452">IF($G214="","Hide","Show")</f>
        <v>Show</v>
      </c>
      <c r="E214" s="1"/>
      <c r="F214" t="s">
        <v>135</v>
      </c>
      <c r="G214" t="s">
        <v>105</v>
      </c>
      <c r="H214" t="s">
        <v>130</v>
      </c>
      <c r="I214" s="5" t="s">
        <v>72</v>
      </c>
      <c r="J214" s="5">
        <v>12</v>
      </c>
      <c r="K214" s="5">
        <v>0</v>
      </c>
      <c r="L214" t="str">
        <f t="shared" ref="L214" si="453">IFERROR(IF(K214*J214=0,"0",K214*J214),0)</f>
        <v>0</v>
      </c>
      <c r="M214" s="5">
        <v>0</v>
      </c>
      <c r="N214" t="str">
        <f t="shared" ref="N214" si="454">IF(M214*J214=0,"0",M214*J214)</f>
        <v>0</v>
      </c>
      <c r="O214" s="5">
        <v>1.2</v>
      </c>
      <c r="P214" s="5">
        <v>9.0500000000000007</v>
      </c>
      <c r="Q214" s="5">
        <f t="shared" ref="Q214" si="455">P214*O214</f>
        <v>10.860000000000001</v>
      </c>
      <c r="R214" s="6">
        <f t="shared" ref="R214" si="456">IFERROR(Q214+N214+L214,"")</f>
        <v>10.860000000000001</v>
      </c>
    </row>
    <row r="215" spans="1:18" x14ac:dyDescent="0.25">
      <c r="A215" t="s">
        <v>28</v>
      </c>
      <c r="B215" t="str">
        <f t="shared" ref="B215" si="457">IF($G214="","Hide","Show")</f>
        <v>Show</v>
      </c>
      <c r="H215" t="s">
        <v>131</v>
      </c>
    </row>
    <row r="216" spans="1:18" x14ac:dyDescent="0.25">
      <c r="A216" t="s">
        <v>28</v>
      </c>
      <c r="B216" t="str">
        <f t="shared" si="452"/>
        <v>Show</v>
      </c>
      <c r="E216" s="1"/>
      <c r="F216" t="str">
        <f>"""Ceres4"",""TCP-LIVE"",""27"",""1"",""P997001"""</f>
        <v>"Ceres4","TCP-LIVE","27","1","P997001"</v>
      </c>
      <c r="G216" t="s">
        <v>106</v>
      </c>
      <c r="H216" t="s">
        <v>132</v>
      </c>
      <c r="I216" s="5" t="s">
        <v>72</v>
      </c>
      <c r="J216" s="5">
        <v>9</v>
      </c>
      <c r="K216" s="5">
        <v>0</v>
      </c>
      <c r="L216" t="str">
        <f t="shared" ref="L216" si="458">IFERROR(IF(K216*J216=0,"0",K216*J216),0)</f>
        <v>0</v>
      </c>
      <c r="M216" s="5">
        <v>0</v>
      </c>
      <c r="N216" t="str">
        <f t="shared" ref="N216" si="459">IF(M216*J216=0,"0",M216*J216)</f>
        <v>0</v>
      </c>
      <c r="O216" s="5">
        <v>1.1499999999999999</v>
      </c>
      <c r="P216" s="5">
        <v>28</v>
      </c>
      <c r="Q216" s="5">
        <f t="shared" ref="Q216" si="460">P216*O216</f>
        <v>32.199999999999996</v>
      </c>
      <c r="R216" s="6">
        <f t="shared" ref="R216" si="461">IFERROR(Q216+N216+L216,"")</f>
        <v>32.199999999999996</v>
      </c>
    </row>
    <row r="217" spans="1:18" x14ac:dyDescent="0.25">
      <c r="A217" t="s">
        <v>28</v>
      </c>
      <c r="B217" t="str">
        <f t="shared" ref="B217" si="462">IF($G216="","Hide","Show")</f>
        <v>Show</v>
      </c>
      <c r="H217" t="s">
        <v>133</v>
      </c>
    </row>
    <row r="218" spans="1:18" x14ac:dyDescent="0.25">
      <c r="A218" t="s">
        <v>28</v>
      </c>
      <c r="B218" t="str">
        <f t="shared" ref="B218" si="463">IF($G214="","Hide","Show")</f>
        <v>Show</v>
      </c>
    </row>
    <row r="219" spans="1:18" ht="17.25" hidden="1" x14ac:dyDescent="0.3">
      <c r="A219" t="s">
        <v>28</v>
      </c>
      <c r="B219" t="str">
        <f t="shared" ref="B219" si="464">IF($G220="","Hide","Show")</f>
        <v>Hide</v>
      </c>
      <c r="C219" t="str">
        <f>"""Ceres4"",""TCP-LIVE"",""14012281"",""1"",""PET"""</f>
        <v>"Ceres4","TCP-LIVE","14012281","1","PET"</v>
      </c>
      <c r="D219" t="s">
        <v>55</v>
      </c>
      <c r="E219" s="9" t="s">
        <v>10</v>
      </c>
      <c r="F219" s="2"/>
      <c r="G219" s="8" t="s">
        <v>107</v>
      </c>
    </row>
    <row r="220" spans="1:18" hidden="1" x14ac:dyDescent="0.25">
      <c r="A220" t="s">
        <v>28</v>
      </c>
      <c r="B220" t="str">
        <f t="shared" ref="B220" si="465">IF($G220="","Hide","Show")</f>
        <v>Hide</v>
      </c>
      <c r="E220" s="1"/>
      <c r="F220" t="s">
        <v>29</v>
      </c>
      <c r="G220" t="s">
        <v>29</v>
      </c>
      <c r="H220" t="s">
        <v>29</v>
      </c>
      <c r="I220" s="5" t="s">
        <v>29</v>
      </c>
      <c r="J220" s="5" t="s">
        <v>29</v>
      </c>
      <c r="K220" s="5" t="s">
        <v>73</v>
      </c>
      <c r="L220">
        <f t="shared" ref="L220" si="466">IFERROR(IF(K220*J220=0,"0",K220*J220),0)</f>
        <v>0</v>
      </c>
      <c r="M220" s="5" t="s">
        <v>29</v>
      </c>
      <c r="N220" t="e">
        <f t="shared" ref="N220" si="467">IF(M220*J220=0,"0",M220*J220)</f>
        <v>#VALUE!</v>
      </c>
      <c r="O220" s="5" t="s">
        <v>29</v>
      </c>
      <c r="P220" s="5" t="s">
        <v>29</v>
      </c>
      <c r="Q220" s="5" t="e">
        <f t="shared" ref="Q220" si="468">P220*O220</f>
        <v>#VALUE!</v>
      </c>
      <c r="R220" s="6" t="str">
        <f t="shared" ref="R220" si="469">IFERROR(Q220+N220+L220,"")</f>
        <v/>
      </c>
    </row>
    <row r="221" spans="1:18" hidden="1" x14ac:dyDescent="0.25">
      <c r="A221" t="s">
        <v>28</v>
      </c>
      <c r="B221" t="str">
        <f t="shared" ref="B221" si="470">IF($G220="","Hide","Show")</f>
        <v>Hide</v>
      </c>
      <c r="H221" t="s">
        <v>29</v>
      </c>
    </row>
    <row r="222" spans="1:18" hidden="1" x14ac:dyDescent="0.25">
      <c r="A222" t="s">
        <v>28</v>
      </c>
      <c r="B222" t="str">
        <f t="shared" ref="B222" si="471">IF($G220="","Hide","Show")</f>
        <v>Hide</v>
      </c>
    </row>
    <row r="223" spans="1:18" ht="17.25" hidden="1" x14ac:dyDescent="0.3">
      <c r="A223" t="s">
        <v>28</v>
      </c>
      <c r="B223" t="str">
        <f t="shared" ref="B223" si="472">IF($G224="","Hide","Show")</f>
        <v>Hide</v>
      </c>
      <c r="C223" t="str">
        <f>"""Ceres4"",""TCP-LIVE"",""14012281"",""1"",""PRODUCE"""</f>
        <v>"Ceres4","TCP-LIVE","14012281","1","PRODUCE"</v>
      </c>
      <c r="D223" t="s">
        <v>56</v>
      </c>
      <c r="E223" s="9" t="s">
        <v>10</v>
      </c>
      <c r="F223" s="2"/>
      <c r="G223" s="8" t="s">
        <v>108</v>
      </c>
    </row>
    <row r="224" spans="1:18" hidden="1" x14ac:dyDescent="0.25">
      <c r="A224" t="s">
        <v>28</v>
      </c>
      <c r="B224" t="str">
        <f t="shared" ref="B224" si="473">IF($G224="","Hide","Show")</f>
        <v>Hide</v>
      </c>
      <c r="E224" s="1"/>
      <c r="F224" t="s">
        <v>29</v>
      </c>
      <c r="G224" t="s">
        <v>29</v>
      </c>
      <c r="H224" t="s">
        <v>29</v>
      </c>
      <c r="I224" s="5" t="s">
        <v>29</v>
      </c>
      <c r="J224" s="5" t="s">
        <v>29</v>
      </c>
      <c r="K224" s="5" t="s">
        <v>73</v>
      </c>
      <c r="L224">
        <f t="shared" ref="L224" si="474">IFERROR(IF(K224*J224=0,"0",K224*J224),0)</f>
        <v>0</v>
      </c>
      <c r="M224" s="5" t="s">
        <v>29</v>
      </c>
      <c r="N224" t="e">
        <f t="shared" ref="N224" si="475">IF(M224*J224=0,"0",M224*J224)</f>
        <v>#VALUE!</v>
      </c>
      <c r="O224" s="5" t="s">
        <v>29</v>
      </c>
      <c r="P224" s="5" t="s">
        <v>29</v>
      </c>
      <c r="Q224" s="5" t="e">
        <f t="shared" ref="Q224" si="476">P224*O224</f>
        <v>#VALUE!</v>
      </c>
      <c r="R224" s="6" t="str">
        <f t="shared" ref="R224" si="477">IFERROR(Q224+N224+L224,"")</f>
        <v/>
      </c>
    </row>
    <row r="225" spans="1:18" hidden="1" x14ac:dyDescent="0.25">
      <c r="A225" t="s">
        <v>28</v>
      </c>
      <c r="B225" t="str">
        <f t="shared" ref="B225" si="478">IF($G224="","Hide","Show")</f>
        <v>Hide</v>
      </c>
      <c r="H225" t="s">
        <v>29</v>
      </c>
    </row>
    <row r="226" spans="1:18" hidden="1" x14ac:dyDescent="0.25">
      <c r="A226" t="s">
        <v>28</v>
      </c>
      <c r="B226" t="str">
        <f t="shared" ref="B226" si="479">IF($G224="","Hide","Show")</f>
        <v>Hide</v>
      </c>
    </row>
    <row r="227" spans="1:18" ht="17.25" x14ac:dyDescent="0.3">
      <c r="A227" t="s">
        <v>28</v>
      </c>
      <c r="B227" t="str">
        <f t="shared" ref="B227" si="480">IF($G228="","Hide","Show")</f>
        <v>Show</v>
      </c>
      <c r="C227" t="str">
        <f>"""Ceres4"",""TCP-LIVE"",""14012281"",""1"",""PRO-MEAT"""</f>
        <v>"Ceres4","TCP-LIVE","14012281","1","PRO-MEAT"</v>
      </c>
      <c r="D227" t="s">
        <v>57</v>
      </c>
      <c r="E227" s="9" t="s">
        <v>10</v>
      </c>
      <c r="F227" s="2"/>
      <c r="G227" s="8" t="s">
        <v>109</v>
      </c>
    </row>
    <row r="228" spans="1:18" x14ac:dyDescent="0.25">
      <c r="A228" t="s">
        <v>28</v>
      </c>
      <c r="B228" t="str">
        <f t="shared" ref="B228:B290" si="481">IF($G228="","Hide","Show")</f>
        <v>Show</v>
      </c>
      <c r="E228" s="1"/>
      <c r="F228" t="s">
        <v>134</v>
      </c>
      <c r="G228" t="str">
        <f>"400094"</f>
        <v>400094</v>
      </c>
      <c r="H228" t="str">
        <f>"Protein - Beef Franks"</f>
        <v>Protein - Beef Franks</v>
      </c>
      <c r="I228" s="5" t="str">
        <f>"CS"</f>
        <v>CS</v>
      </c>
      <c r="J228" s="5">
        <v>11</v>
      </c>
      <c r="K228" s="5">
        <v>0.19</v>
      </c>
      <c r="L228">
        <f t="shared" ref="L228" si="482">IFERROR(IF(K228*J228=0,"0",K228*J228),0)</f>
        <v>2.09</v>
      </c>
      <c r="M228" s="5">
        <v>0</v>
      </c>
      <c r="N228" t="str">
        <f t="shared" ref="N228" si="483">IF(M228*J228=0,"0",M228*J228)</f>
        <v>0</v>
      </c>
      <c r="O228" s="5">
        <v>1</v>
      </c>
      <c r="P228" s="5">
        <v>0</v>
      </c>
      <c r="Q228" s="5">
        <f t="shared" ref="Q228" si="484">P228*O228</f>
        <v>0</v>
      </c>
      <c r="R228" s="6">
        <f t="shared" ref="R228" si="485">IFERROR(Q228+N228+L228,"")</f>
        <v>2.09</v>
      </c>
    </row>
    <row r="229" spans="1:18" x14ac:dyDescent="0.25">
      <c r="A229" t="s">
        <v>28</v>
      </c>
      <c r="B229" t="str">
        <f t="shared" ref="B229" si="486">IF($G228="","Hide","Show")</f>
        <v>Show</v>
      </c>
      <c r="H229" t="str">
        <f>"12-15 oz"</f>
        <v>12-15 oz</v>
      </c>
    </row>
    <row r="230" spans="1:18" x14ac:dyDescent="0.25">
      <c r="A230" t="s">
        <v>28</v>
      </c>
      <c r="B230" t="str">
        <f t="shared" si="481"/>
        <v>Show</v>
      </c>
      <c r="E230" s="1"/>
      <c r="F230" t="str">
        <f>"""Ceres4"",""TCP-LIVE"",""27"",""1"",""400241"""</f>
        <v>"Ceres4","TCP-LIVE","27","1","400241"</v>
      </c>
      <c r="G230" t="str">
        <f>"400241"</f>
        <v>400241</v>
      </c>
      <c r="H230" t="str">
        <f>"Protein - Beef Sausage Links"</f>
        <v>Protein - Beef Sausage Links</v>
      </c>
      <c r="I230" s="5" t="str">
        <f>"CS"</f>
        <v>CS</v>
      </c>
      <c r="J230" s="5">
        <v>9</v>
      </c>
      <c r="K230" s="5">
        <v>0.19</v>
      </c>
      <c r="L230">
        <f t="shared" ref="L230" si="487">IFERROR(IF(K230*J230=0,"0",K230*J230),0)</f>
        <v>1.71</v>
      </c>
      <c r="M230" s="5">
        <v>0</v>
      </c>
      <c r="N230" t="str">
        <f t="shared" ref="N230" si="488">IF(M230*J230=0,"0",M230*J230)</f>
        <v>0</v>
      </c>
      <c r="O230" s="5">
        <v>1</v>
      </c>
      <c r="P230" s="5">
        <v>0</v>
      </c>
      <c r="Q230" s="5">
        <f t="shared" ref="Q230" si="489">P230*O230</f>
        <v>0</v>
      </c>
      <c r="R230" s="6">
        <f t="shared" ref="R230" si="490">IFERROR(Q230+N230+L230,"")</f>
        <v>1.71</v>
      </c>
    </row>
    <row r="231" spans="1:18" x14ac:dyDescent="0.25">
      <c r="A231" t="s">
        <v>28</v>
      </c>
      <c r="B231" t="str">
        <f t="shared" ref="B231" si="491">IF($G230="","Hide","Show")</f>
        <v>Show</v>
      </c>
      <c r="H231" t="str">
        <f>"12-12 oz"</f>
        <v>12-12 oz</v>
      </c>
    </row>
    <row r="232" spans="1:18" x14ac:dyDescent="0.25">
      <c r="A232" t="s">
        <v>28</v>
      </c>
      <c r="B232" t="str">
        <f t="shared" si="481"/>
        <v>Show</v>
      </c>
      <c r="E232" s="1"/>
      <c r="F232" t="str">
        <f>"""Ceres4"",""TCP-LIVE"",""27"",""1"",""420059"""</f>
        <v>"Ceres4","TCP-LIVE","27","1","420059"</v>
      </c>
      <c r="G232" t="str">
        <f>"420059"</f>
        <v>420059</v>
      </c>
      <c r="H232" t="str">
        <f>"Protein - Spare Ribs"</f>
        <v>Protein - Spare Ribs</v>
      </c>
      <c r="I232" s="5" t="str">
        <f>"BOX"</f>
        <v>BOX</v>
      </c>
      <c r="J232" s="5">
        <v>50</v>
      </c>
      <c r="K232" s="5">
        <v>0.19</v>
      </c>
      <c r="L232">
        <f t="shared" ref="L232" si="492">IFERROR(IF(K232*J232=0,"0",K232*J232),0)</f>
        <v>9.5</v>
      </c>
      <c r="M232" s="5">
        <v>0</v>
      </c>
      <c r="N232" t="str">
        <f t="shared" ref="N232" si="493">IF(M232*J232=0,"0",M232*J232)</f>
        <v>0</v>
      </c>
      <c r="O232" s="5">
        <v>1</v>
      </c>
      <c r="P232" s="5">
        <v>0</v>
      </c>
      <c r="Q232" s="5">
        <f t="shared" ref="Q232" si="494">P232*O232</f>
        <v>0</v>
      </c>
      <c r="R232" s="6">
        <f t="shared" ref="R232" si="495">IFERROR(Q232+N232+L232,"")</f>
        <v>9.5</v>
      </c>
    </row>
    <row r="233" spans="1:18" x14ac:dyDescent="0.25">
      <c r="A233" t="s">
        <v>28</v>
      </c>
      <c r="B233" t="str">
        <f t="shared" ref="B233" si="496">IF($G232="","Hide","Show")</f>
        <v>Show</v>
      </c>
      <c r="H233" t="str">
        <f>"6-8 lb"</f>
        <v>6-8 lb</v>
      </c>
    </row>
    <row r="234" spans="1:18" x14ac:dyDescent="0.25">
      <c r="A234" t="s">
        <v>28</v>
      </c>
      <c r="B234" t="str">
        <f t="shared" si="481"/>
        <v>Show</v>
      </c>
      <c r="E234" s="1"/>
      <c r="F234" t="str">
        <f>"""Ceres4"",""TCP-LIVE"",""27"",""1"",""440154"""</f>
        <v>"Ceres4","TCP-LIVE","27","1","440154"</v>
      </c>
      <c r="G234" t="str">
        <f>"440154"</f>
        <v>440154</v>
      </c>
      <c r="H234" t="str">
        <f>"Protein - Chicken Wings"</f>
        <v>Protein - Chicken Wings</v>
      </c>
      <c r="I234" s="5" t="str">
        <f>"BOX"</f>
        <v>BOX</v>
      </c>
      <c r="J234" s="5">
        <v>30</v>
      </c>
      <c r="K234" s="5">
        <v>0.19</v>
      </c>
      <c r="L234">
        <f t="shared" ref="L234" si="497">IFERROR(IF(K234*J234=0,"0",K234*J234),0)</f>
        <v>5.7</v>
      </c>
      <c r="M234" s="5">
        <v>0</v>
      </c>
      <c r="N234" t="str">
        <f t="shared" ref="N234" si="498">IF(M234*J234=0,"0",M234*J234)</f>
        <v>0</v>
      </c>
      <c r="O234" s="5">
        <v>1</v>
      </c>
      <c r="P234" s="5">
        <v>0</v>
      </c>
      <c r="Q234" s="5">
        <f t="shared" ref="Q234" si="499">P234*O234</f>
        <v>0</v>
      </c>
      <c r="R234" s="6">
        <f t="shared" ref="R234" si="500">IFERROR(Q234+N234+L234,"")</f>
        <v>5.7</v>
      </c>
    </row>
    <row r="235" spans="1:18" x14ac:dyDescent="0.25">
      <c r="A235" t="s">
        <v>28</v>
      </c>
      <c r="B235" t="str">
        <f t="shared" ref="B235" si="501">IF($G234="","Hide","Show")</f>
        <v>Show</v>
      </c>
      <c r="H235" t="str">
        <f>"30 lb Bulk"</f>
        <v>30 lb Bulk</v>
      </c>
    </row>
    <row r="236" spans="1:18" x14ac:dyDescent="0.25">
      <c r="A236" t="s">
        <v>28</v>
      </c>
      <c r="B236" t="str">
        <f t="shared" si="481"/>
        <v>Show</v>
      </c>
      <c r="E236" s="1"/>
      <c r="F236" t="str">
        <f>"""Ceres4"",""TCP-LIVE"",""27"",""1"",""480081"""</f>
        <v>"Ceres4","TCP-LIVE","27","1","480081"</v>
      </c>
      <c r="G236" t="str">
        <f>"480081"</f>
        <v>480081</v>
      </c>
      <c r="H236" t="str">
        <f>"Protein - Wieners"</f>
        <v>Protein - Wieners</v>
      </c>
      <c r="I236" s="5" t="str">
        <f>"CS"</f>
        <v>CS</v>
      </c>
      <c r="J236" s="5">
        <v>16</v>
      </c>
      <c r="K236" s="5">
        <v>0.19</v>
      </c>
      <c r="L236">
        <f t="shared" ref="L236" si="502">IFERROR(IF(K236*J236=0,"0",K236*J236),0)</f>
        <v>3.04</v>
      </c>
      <c r="M236" s="5">
        <v>0</v>
      </c>
      <c r="N236" t="str">
        <f t="shared" ref="N236" si="503">IF(M236*J236=0,"0",M236*J236)</f>
        <v>0</v>
      </c>
      <c r="O236" s="5">
        <v>1</v>
      </c>
      <c r="P236" s="5">
        <v>0</v>
      </c>
      <c r="Q236" s="5">
        <f t="shared" ref="Q236" si="504">P236*O236</f>
        <v>0</v>
      </c>
      <c r="R236" s="6">
        <f t="shared" ref="R236" si="505">IFERROR(Q236+N236+L236,"")</f>
        <v>3.04</v>
      </c>
    </row>
    <row r="237" spans="1:18" x14ac:dyDescent="0.25">
      <c r="A237" t="s">
        <v>28</v>
      </c>
      <c r="B237" t="str">
        <f t="shared" ref="B237" si="506">IF($G236="","Hide","Show")</f>
        <v>Show</v>
      </c>
      <c r="H237" t="str">
        <f>"8-2 lb"</f>
        <v>8-2 lb</v>
      </c>
    </row>
    <row r="238" spans="1:18" x14ac:dyDescent="0.25">
      <c r="A238" t="s">
        <v>28</v>
      </c>
      <c r="B238" t="str">
        <f t="shared" si="481"/>
        <v>Show</v>
      </c>
      <c r="E238" s="1"/>
      <c r="F238" t="str">
        <f>"""Ceres4"",""TCP-LIVE"",""27"",""1"",""489983"""</f>
        <v>"Ceres4","TCP-LIVE","27","1","489983"</v>
      </c>
      <c r="G238" t="str">
        <f>"489983"</f>
        <v>489983</v>
      </c>
      <c r="H238" t="str">
        <f>"Protein - Assosrted Beef and Chicken"</f>
        <v>Protein - Assosrted Beef and Chicken</v>
      </c>
      <c r="I238" s="5" t="str">
        <f>"LB"</f>
        <v>LB</v>
      </c>
      <c r="J238" s="5">
        <v>1</v>
      </c>
      <c r="K238" s="5">
        <v>0.19</v>
      </c>
      <c r="L238">
        <f t="shared" ref="L238" si="507">IFERROR(IF(K238*J238=0,"0",K238*J238),0)</f>
        <v>0.19</v>
      </c>
      <c r="M238" s="5">
        <v>0</v>
      </c>
      <c r="N238" t="str">
        <f t="shared" ref="N238" si="508">IF(M238*J238=0,"0",M238*J238)</f>
        <v>0</v>
      </c>
      <c r="O238" s="5">
        <v>1</v>
      </c>
      <c r="P238" s="5">
        <v>0</v>
      </c>
      <c r="Q238" s="5">
        <f t="shared" ref="Q238" si="509">P238*O238</f>
        <v>0</v>
      </c>
      <c r="R238" s="6">
        <f t="shared" ref="R238" si="510">IFERROR(Q238+N238+L238,"")</f>
        <v>0.19</v>
      </c>
    </row>
    <row r="239" spans="1:18" x14ac:dyDescent="0.25">
      <c r="A239" t="s">
        <v>28</v>
      </c>
      <c r="B239" t="str">
        <f t="shared" ref="B239" si="511">IF($G238="","Hide","Show")</f>
        <v>Show</v>
      </c>
      <c r="H239" t="str">
        <f>"Sold by the pound"</f>
        <v>Sold by the pound</v>
      </c>
    </row>
    <row r="240" spans="1:18" x14ac:dyDescent="0.25">
      <c r="A240" t="s">
        <v>28</v>
      </c>
      <c r="B240" t="str">
        <f t="shared" si="481"/>
        <v>Show</v>
      </c>
      <c r="E240" s="1"/>
      <c r="F240" t="str">
        <f>"""Ceres4"",""TCP-LIVE"",""27"",""1"",""P400000"""</f>
        <v>"Ceres4","TCP-LIVE","27","1","P400000"</v>
      </c>
      <c r="G240" t="str">
        <f>"P400000"</f>
        <v>P400000</v>
      </c>
      <c r="H240" t="str">
        <f>"Protein-Ground Beef"</f>
        <v>Protein-Ground Beef</v>
      </c>
      <c r="I240" s="5" t="str">
        <f>"EA"</f>
        <v>EA</v>
      </c>
      <c r="J240" s="5">
        <v>1</v>
      </c>
      <c r="K240" s="5">
        <v>0</v>
      </c>
      <c r="L240" t="str">
        <f t="shared" ref="L240" si="512">IFERROR(IF(K240*J240=0,"0",K240*J240),0)</f>
        <v>0</v>
      </c>
      <c r="M240" s="5">
        <v>0</v>
      </c>
      <c r="N240" t="str">
        <f t="shared" ref="N240" si="513">IF(M240*J240=0,"0",M240*J240)</f>
        <v>0</v>
      </c>
      <c r="O240" s="5">
        <v>1.1000000000000001</v>
      </c>
      <c r="P240" s="5">
        <v>2.25</v>
      </c>
      <c r="Q240" s="5">
        <f t="shared" ref="Q240" si="514">P240*O240</f>
        <v>2.4750000000000001</v>
      </c>
      <c r="R240" s="6">
        <f t="shared" ref="R240" si="515">IFERROR(Q240+N240+L240,"")</f>
        <v>2.4750000000000001</v>
      </c>
    </row>
    <row r="241" spans="1:18" x14ac:dyDescent="0.25">
      <c r="A241" t="s">
        <v>28</v>
      </c>
      <c r="B241" t="str">
        <f t="shared" ref="B241" si="516">IF($G240="","Hide","Show")</f>
        <v>Show</v>
      </c>
      <c r="H241" t="str">
        <f>"1-1 lb"</f>
        <v>1-1 lb</v>
      </c>
    </row>
    <row r="242" spans="1:18" x14ac:dyDescent="0.25">
      <c r="A242" t="s">
        <v>28</v>
      </c>
      <c r="B242" t="str">
        <f t="shared" si="481"/>
        <v>Show</v>
      </c>
      <c r="E242" s="1"/>
      <c r="F242" t="str">
        <f>"""Ceres4"",""TCP-LIVE"",""27"",""1"",""P400003"""</f>
        <v>"Ceres4","TCP-LIVE","27","1","P400003"</v>
      </c>
      <c r="G242" t="str">
        <f>"P400003"</f>
        <v>P400003</v>
      </c>
      <c r="H242" t="str">
        <f>"Protein - Ground Beef"</f>
        <v>Protein - Ground Beef</v>
      </c>
      <c r="I242" s="5" t="str">
        <f>"EA"</f>
        <v>EA</v>
      </c>
      <c r="J242" s="5">
        <v>5</v>
      </c>
      <c r="K242" s="5">
        <v>0</v>
      </c>
      <c r="L242" t="str">
        <f t="shared" ref="L242" si="517">IFERROR(IF(K242*J242=0,"0",K242*J242),0)</f>
        <v>0</v>
      </c>
      <c r="M242" s="5">
        <v>0</v>
      </c>
      <c r="N242" t="str">
        <f t="shared" ref="N242" si="518">IF(M242*J242=0,"0",M242*J242)</f>
        <v>0</v>
      </c>
      <c r="O242" s="5">
        <v>1.1000000000000001</v>
      </c>
      <c r="P242" s="5">
        <v>11.96184</v>
      </c>
      <c r="Q242" s="5">
        <f t="shared" ref="Q242" si="519">P242*O242</f>
        <v>13.158024000000001</v>
      </c>
      <c r="R242" s="6">
        <f t="shared" ref="R242" si="520">IFERROR(Q242+N242+L242,"")</f>
        <v>13.158024000000001</v>
      </c>
    </row>
    <row r="243" spans="1:18" x14ac:dyDescent="0.25">
      <c r="A243" t="s">
        <v>28</v>
      </c>
      <c r="B243" t="str">
        <f t="shared" ref="B243" si="521">IF($G242="","Hide","Show")</f>
        <v>Show</v>
      </c>
      <c r="H243" t="str">
        <f>"1-5 lb "</f>
        <v xml:space="preserve">1-5 lb </v>
      </c>
    </row>
    <row r="244" spans="1:18" x14ac:dyDescent="0.25">
      <c r="A244" t="s">
        <v>28</v>
      </c>
      <c r="B244" t="str">
        <f t="shared" si="481"/>
        <v>Show</v>
      </c>
      <c r="E244" s="1"/>
      <c r="F244" t="str">
        <f>"""Ceres4"",""TCP-LIVE"",""27"",""1"",""P400004"""</f>
        <v>"Ceres4","TCP-LIVE","27","1","P400004"</v>
      </c>
      <c r="G244" t="str">
        <f>"P400004"</f>
        <v>P400004</v>
      </c>
      <c r="H244" t="str">
        <f>"Protein - Beef Patties"</f>
        <v>Protein - Beef Patties</v>
      </c>
      <c r="I244" s="5" t="str">
        <f>"BAG"</f>
        <v>BAG</v>
      </c>
      <c r="J244" s="5">
        <v>5</v>
      </c>
      <c r="K244" s="5">
        <v>0</v>
      </c>
      <c r="L244" t="str">
        <f t="shared" ref="L244" si="522">IFERROR(IF(K244*J244=0,"0",K244*J244),0)</f>
        <v>0</v>
      </c>
      <c r="M244" s="5">
        <v>0</v>
      </c>
      <c r="N244" t="str">
        <f t="shared" ref="N244" si="523">IF(M244*J244=0,"0",M244*J244)</f>
        <v>0</v>
      </c>
      <c r="O244" s="5">
        <v>1.1000000000000001</v>
      </c>
      <c r="P244" s="5">
        <v>4.7439999999999998</v>
      </c>
      <c r="Q244" s="5">
        <f t="shared" ref="Q244" si="524">P244*O244</f>
        <v>5.2183999999999999</v>
      </c>
      <c r="R244" s="6">
        <f t="shared" ref="R244" si="525">IFERROR(Q244+N244+L244,"")</f>
        <v>5.2183999999999999</v>
      </c>
    </row>
    <row r="245" spans="1:18" x14ac:dyDescent="0.25">
      <c r="A245" t="s">
        <v>28</v>
      </c>
      <c r="B245" t="str">
        <f t="shared" ref="B245" si="526">IF($G244="","Hide","Show")</f>
        <v>Show</v>
      </c>
      <c r="H245" t="str">
        <f>"2- 4 pack beef patties"</f>
        <v>2- 4 pack beef patties</v>
      </c>
    </row>
    <row r="246" spans="1:18" x14ac:dyDescent="0.25">
      <c r="A246" t="s">
        <v>28</v>
      </c>
      <c r="B246" t="str">
        <f t="shared" si="481"/>
        <v>Show</v>
      </c>
      <c r="E246" s="1"/>
      <c r="F246" t="str">
        <f>"""Ceres4"",""TCP-LIVE"",""27"",""1"",""P400005"""</f>
        <v>"Ceres4","TCP-LIVE","27","1","P400005"</v>
      </c>
      <c r="G246" t="str">
        <f>"P400005"</f>
        <v>P400005</v>
      </c>
      <c r="H246" t="str">
        <f>"Protein - Beef patties"</f>
        <v>Protein - Beef patties</v>
      </c>
      <c r="I246" s="5" t="str">
        <f>"EA"</f>
        <v>EA</v>
      </c>
      <c r="J246" s="5">
        <v>1</v>
      </c>
      <c r="K246" s="5">
        <v>0</v>
      </c>
      <c r="L246" t="str">
        <f t="shared" ref="L246" si="527">IFERROR(IF(K246*J246=0,"0",K246*J246),0)</f>
        <v>0</v>
      </c>
      <c r="M246" s="5">
        <v>0</v>
      </c>
      <c r="N246" t="str">
        <f t="shared" ref="N246" si="528">IF(M246*J246=0,"0",M246*J246)</f>
        <v>0</v>
      </c>
      <c r="O246" s="5">
        <v>1.1000000000000001</v>
      </c>
      <c r="P246" s="5">
        <v>4.625</v>
      </c>
      <c r="Q246" s="5">
        <f t="shared" ref="Q246" si="529">P246*O246</f>
        <v>5.0875000000000004</v>
      </c>
      <c r="R246" s="6">
        <f t="shared" ref="R246" si="530">IFERROR(Q246+N246+L246,"")</f>
        <v>5.0875000000000004</v>
      </c>
    </row>
    <row r="247" spans="1:18" x14ac:dyDescent="0.25">
      <c r="A247" t="s">
        <v>28</v>
      </c>
      <c r="B247" t="str">
        <f t="shared" ref="B247" si="531">IF($G246="","Hide","Show")</f>
        <v>Show</v>
      </c>
      <c r="H247" t="str">
        <f>"1 pk -8 beef patties"</f>
        <v>1 pk -8 beef patties</v>
      </c>
    </row>
    <row r="248" spans="1:18" x14ac:dyDescent="0.25">
      <c r="A248" t="s">
        <v>28</v>
      </c>
      <c r="B248" t="str">
        <f t="shared" si="481"/>
        <v>Show</v>
      </c>
      <c r="E248" s="1"/>
      <c r="F248" t="str">
        <f>"""Ceres4"",""TCP-LIVE"",""27"",""1"",""P400007"""</f>
        <v>"Ceres4","TCP-LIVE","27","1","P400007"</v>
      </c>
      <c r="G248" t="str">
        <f>"P400007"</f>
        <v>P400007</v>
      </c>
      <c r="H248" t="str">
        <f>"Protein - Beef Shredded Cooked"</f>
        <v>Protein - Beef Shredded Cooked</v>
      </c>
      <c r="I248" s="5" t="str">
        <f>"BAG"</f>
        <v>BAG</v>
      </c>
      <c r="J248" s="5">
        <v>5</v>
      </c>
      <c r="K248" s="5">
        <v>0</v>
      </c>
      <c r="L248" t="str">
        <f t="shared" ref="L248" si="532">IFERROR(IF(K248*J248=0,"0",K248*J248),0)</f>
        <v>0</v>
      </c>
      <c r="M248" s="5">
        <v>0</v>
      </c>
      <c r="N248" t="str">
        <f t="shared" ref="N248" si="533">IF(M248*J248=0,"0",M248*J248)</f>
        <v>0</v>
      </c>
      <c r="O248" s="5">
        <v>1</v>
      </c>
      <c r="P248" s="5">
        <v>29.944290000000002</v>
      </c>
      <c r="Q248" s="5">
        <f t="shared" ref="Q248" si="534">P248*O248</f>
        <v>29.944290000000002</v>
      </c>
      <c r="R248" s="6">
        <f t="shared" ref="R248" si="535">IFERROR(Q248+N248+L248,"")</f>
        <v>29.944290000000002</v>
      </c>
    </row>
    <row r="249" spans="1:18" x14ac:dyDescent="0.25">
      <c r="A249" t="s">
        <v>28</v>
      </c>
      <c r="B249" t="str">
        <f t="shared" ref="B249" si="536">IF($G248="","Hide","Show")</f>
        <v>Show</v>
      </c>
      <c r="H249" t="str">
        <f>"1- 5 lb "</f>
        <v xml:space="preserve">1- 5 lb </v>
      </c>
    </row>
    <row r="250" spans="1:18" x14ac:dyDescent="0.25">
      <c r="A250" t="s">
        <v>28</v>
      </c>
      <c r="B250" t="str">
        <f t="shared" si="481"/>
        <v>Show</v>
      </c>
      <c r="E250" s="1"/>
      <c r="F250" t="str">
        <f>"""Ceres4"",""TCP-LIVE"",""27"",""1"",""P400010"""</f>
        <v>"Ceres4","TCP-LIVE","27","1","P400010"</v>
      </c>
      <c r="G250" t="str">
        <f>"P400010"</f>
        <v>P400010</v>
      </c>
      <c r="H250" t="str">
        <f>"Protein - Thick Beef Patties"</f>
        <v>Protein - Thick Beef Patties</v>
      </c>
      <c r="I250" s="5" t="str">
        <f>"EA"</f>
        <v>EA</v>
      </c>
      <c r="J250" s="5">
        <v>1</v>
      </c>
      <c r="K250" s="5">
        <v>0</v>
      </c>
      <c r="L250" t="str">
        <f t="shared" ref="L250" si="537">IFERROR(IF(K250*J250=0,"0",K250*J250),0)</f>
        <v>0</v>
      </c>
      <c r="M250" s="5">
        <v>0</v>
      </c>
      <c r="N250" t="str">
        <f t="shared" ref="N250" si="538">IF(M250*J250=0,"0",M250*J250)</f>
        <v>0</v>
      </c>
      <c r="O250" s="5">
        <v>1.1000000000000001</v>
      </c>
      <c r="P250" s="5">
        <v>11.64833</v>
      </c>
      <c r="Q250" s="5">
        <f t="shared" ref="Q250" si="539">P250*O250</f>
        <v>12.813163000000001</v>
      </c>
      <c r="R250" s="6">
        <f t="shared" ref="R250" si="540">IFERROR(Q250+N250+L250,"")</f>
        <v>12.813163000000001</v>
      </c>
    </row>
    <row r="251" spans="1:18" x14ac:dyDescent="0.25">
      <c r="A251" t="s">
        <v>28</v>
      </c>
      <c r="B251" t="str">
        <f t="shared" ref="B251" si="541">IF($G250="","Hide","Show")</f>
        <v>Show</v>
      </c>
      <c r="H251" t="str">
        <f>"2-4 pk "</f>
        <v xml:space="preserve">2-4 pk </v>
      </c>
    </row>
    <row r="252" spans="1:18" x14ac:dyDescent="0.25">
      <c r="A252" t="s">
        <v>28</v>
      </c>
      <c r="B252" t="str">
        <f t="shared" si="481"/>
        <v>Show</v>
      </c>
      <c r="E252" s="1"/>
      <c r="F252" t="str">
        <f>"""Ceres4"",""TCP-LIVE"",""27"",""1"",""P400012"""</f>
        <v>"Ceres4","TCP-LIVE","27","1","P400012"</v>
      </c>
      <c r="G252" t="str">
        <f>"P400012"</f>
        <v>P400012</v>
      </c>
      <c r="H252" t="str">
        <f>"Protein- Beef Ribeye "</f>
        <v xml:space="preserve">Protein- Beef Ribeye </v>
      </c>
      <c r="I252" s="5" t="str">
        <f>"EA"</f>
        <v>EA</v>
      </c>
      <c r="J252" s="5">
        <v>2</v>
      </c>
      <c r="K252" s="5">
        <v>0</v>
      </c>
      <c r="L252" t="str">
        <f t="shared" ref="L252" si="542">IFERROR(IF(K252*J252=0,"0",K252*J252),0)</f>
        <v>0</v>
      </c>
      <c r="M252" s="5">
        <v>0</v>
      </c>
      <c r="N252" t="str">
        <f t="shared" ref="N252" si="543">IF(M252*J252=0,"0",M252*J252)</f>
        <v>0</v>
      </c>
      <c r="O252" s="5">
        <v>1</v>
      </c>
      <c r="P252" s="5">
        <v>17.54627</v>
      </c>
      <c r="Q252" s="5">
        <f t="shared" ref="Q252" si="544">P252*O252</f>
        <v>17.54627</v>
      </c>
      <c r="R252" s="6">
        <f t="shared" ref="R252" si="545">IFERROR(Q252+N252+L252,"")</f>
        <v>17.54627</v>
      </c>
    </row>
    <row r="253" spans="1:18" x14ac:dyDescent="0.25">
      <c r="A253" t="s">
        <v>28</v>
      </c>
      <c r="B253" t="str">
        <f t="shared" ref="B253" si="546">IF($G252="","Hide","Show")</f>
        <v>Show</v>
      </c>
      <c r="H253" t="str">
        <f>"1-2 lb"</f>
        <v>1-2 lb</v>
      </c>
    </row>
    <row r="254" spans="1:18" x14ac:dyDescent="0.25">
      <c r="A254" t="s">
        <v>28</v>
      </c>
      <c r="B254" t="str">
        <f t="shared" si="481"/>
        <v>Show</v>
      </c>
      <c r="E254" s="1"/>
      <c r="F254" t="str">
        <f>"""Ceres4"",""TCP-LIVE"",""27"",""1"",""P419997"""</f>
        <v>"Ceres4","TCP-LIVE","27","1","P419997"</v>
      </c>
      <c r="G254" t="str">
        <f>"P419997"</f>
        <v>P419997</v>
      </c>
      <c r="H254" t="str">
        <f>"Protein - Pork Sausage Links"</f>
        <v>Protein - Pork Sausage Links</v>
      </c>
      <c r="I254" s="5" t="str">
        <f>"BOX"</f>
        <v>BOX</v>
      </c>
      <c r="J254" s="5">
        <v>10</v>
      </c>
      <c r="K254" s="5">
        <v>0</v>
      </c>
      <c r="L254" t="str">
        <f t="shared" ref="L254" si="547">IFERROR(IF(K254*J254=0,"0",K254*J254),0)</f>
        <v>0</v>
      </c>
      <c r="M254" s="5">
        <v>0</v>
      </c>
      <c r="N254" t="str">
        <f t="shared" ref="N254" si="548">IF(M254*J254=0,"0",M254*J254)</f>
        <v>0</v>
      </c>
      <c r="O254" s="5">
        <v>1.1000000000000001</v>
      </c>
      <c r="P254" s="5">
        <v>34.4</v>
      </c>
      <c r="Q254" s="5">
        <f t="shared" ref="Q254" si="549">P254*O254</f>
        <v>37.840000000000003</v>
      </c>
      <c r="R254" s="6">
        <f t="shared" ref="R254" si="550">IFERROR(Q254+N254+L254,"")</f>
        <v>37.840000000000003</v>
      </c>
    </row>
    <row r="255" spans="1:18" x14ac:dyDescent="0.25">
      <c r="A255" t="s">
        <v>28</v>
      </c>
      <c r="B255" t="str">
        <f t="shared" ref="B255" si="551">IF($G254="","Hide","Show")</f>
        <v>Show</v>
      </c>
      <c r="H255" t="str">
        <f>"10 lb box"</f>
        <v>10 lb box</v>
      </c>
    </row>
    <row r="256" spans="1:18" x14ac:dyDescent="0.25">
      <c r="A256" t="s">
        <v>28</v>
      </c>
      <c r="B256" t="str">
        <f t="shared" si="481"/>
        <v>Show</v>
      </c>
      <c r="E256" s="1"/>
      <c r="F256" t="str">
        <f>"""Ceres4"",""TCP-LIVE"",""27"",""1"",""P420000"""</f>
        <v>"Ceres4","TCP-LIVE","27","1","P420000"</v>
      </c>
      <c r="G256" t="str">
        <f>"P420000"</f>
        <v>P420000</v>
      </c>
      <c r="H256" t="str">
        <f>"Protein-Bacon"</f>
        <v>Protein-Bacon</v>
      </c>
      <c r="I256" s="5" t="str">
        <f>"EA"</f>
        <v>EA</v>
      </c>
      <c r="J256" s="5">
        <v>1</v>
      </c>
      <c r="K256" s="5">
        <v>0</v>
      </c>
      <c r="L256" t="str">
        <f t="shared" ref="L256" si="552">IFERROR(IF(K256*J256=0,"0",K256*J256),0)</f>
        <v>0</v>
      </c>
      <c r="M256" s="5">
        <v>0</v>
      </c>
      <c r="N256" t="str">
        <f t="shared" ref="N256" si="553">IF(M256*J256=0,"0",M256*J256)</f>
        <v>0</v>
      </c>
      <c r="O256" s="5">
        <v>1.1000000000000001</v>
      </c>
      <c r="P256" s="5">
        <v>3.7027999999999999</v>
      </c>
      <c r="Q256" s="5">
        <f t="shared" ref="Q256" si="554">P256*O256</f>
        <v>4.07308</v>
      </c>
      <c r="R256" s="6">
        <f t="shared" ref="R256" si="555">IFERROR(Q256+N256+L256,"")</f>
        <v>4.07308</v>
      </c>
    </row>
    <row r="257" spans="1:18" x14ac:dyDescent="0.25">
      <c r="A257" t="s">
        <v>28</v>
      </c>
      <c r="B257" t="str">
        <f t="shared" ref="B257" si="556">IF($G256="","Hide","Show")</f>
        <v>Show</v>
      </c>
      <c r="H257" t="str">
        <f>"1-1 lb "</f>
        <v xml:space="preserve">1-1 lb </v>
      </c>
    </row>
    <row r="258" spans="1:18" x14ac:dyDescent="0.25">
      <c r="A258" t="s">
        <v>28</v>
      </c>
      <c r="B258" t="str">
        <f t="shared" si="481"/>
        <v>Show</v>
      </c>
      <c r="E258" s="1"/>
      <c r="F258" t="str">
        <f>"""Ceres4"",""TCP-LIVE"",""27"",""1"",""P420001"""</f>
        <v>"Ceres4","TCP-LIVE","27","1","P420001"</v>
      </c>
      <c r="G258" t="str">
        <f>"P420001"</f>
        <v>P420001</v>
      </c>
      <c r="H258" t="str">
        <f>"Protein-Sausage Links"</f>
        <v>Protein-Sausage Links</v>
      </c>
      <c r="I258" s="5" t="str">
        <f>"EA"</f>
        <v>EA</v>
      </c>
      <c r="J258" s="5">
        <v>1</v>
      </c>
      <c r="K258" s="5">
        <v>0</v>
      </c>
      <c r="L258" t="str">
        <f t="shared" ref="L258" si="557">IFERROR(IF(K258*J258=0,"0",K258*J258),0)</f>
        <v>0</v>
      </c>
      <c r="M258" s="5">
        <v>0</v>
      </c>
      <c r="N258" t="str">
        <f t="shared" ref="N258" si="558">IF(M258*J258=0,"0",M258*J258)</f>
        <v>0</v>
      </c>
      <c r="O258" s="5">
        <v>1.1000000000000001</v>
      </c>
      <c r="P258" s="5">
        <v>3.4261400000000002</v>
      </c>
      <c r="Q258" s="5">
        <f t="shared" ref="Q258" si="559">P258*O258</f>
        <v>3.7687540000000004</v>
      </c>
      <c r="R258" s="6">
        <f t="shared" ref="R258" si="560">IFERROR(Q258+N258+L258,"")</f>
        <v>3.7687540000000004</v>
      </c>
    </row>
    <row r="259" spans="1:18" x14ac:dyDescent="0.25">
      <c r="A259" t="s">
        <v>28</v>
      </c>
      <c r="B259" t="str">
        <f t="shared" ref="B259" si="561">IF($G258="","Hide","Show")</f>
        <v>Show</v>
      </c>
      <c r="H259" t="str">
        <f>"1-1 lb"</f>
        <v>1-1 lb</v>
      </c>
    </row>
    <row r="260" spans="1:18" x14ac:dyDescent="0.25">
      <c r="A260" t="s">
        <v>28</v>
      </c>
      <c r="B260" t="str">
        <f t="shared" si="481"/>
        <v>Show</v>
      </c>
      <c r="E260" s="1"/>
      <c r="F260" t="str">
        <f>"""Ceres4"",""TCP-LIVE"",""27"",""1"",""P420002"""</f>
        <v>"Ceres4","TCP-LIVE","27","1","P420002"</v>
      </c>
      <c r="G260" t="str">
        <f>"P420002"</f>
        <v>P420002</v>
      </c>
      <c r="H260" t="str">
        <f>"Protein-Pork Sausage Patty"</f>
        <v>Protein-Pork Sausage Patty</v>
      </c>
      <c r="I260" s="5" t="str">
        <f>"EA"</f>
        <v>EA</v>
      </c>
      <c r="J260" s="5">
        <v>1</v>
      </c>
      <c r="K260" s="5">
        <v>0</v>
      </c>
      <c r="L260" t="str">
        <f t="shared" ref="L260" si="562">IFERROR(IF(K260*J260=0,"0",K260*J260),0)</f>
        <v>0</v>
      </c>
      <c r="M260" s="5">
        <v>0</v>
      </c>
      <c r="N260" t="str">
        <f t="shared" ref="N260" si="563">IF(M260*J260=0,"0",M260*J260)</f>
        <v>0</v>
      </c>
      <c r="O260" s="5">
        <v>1.1000000000000001</v>
      </c>
      <c r="P260" s="5">
        <v>2.82958</v>
      </c>
      <c r="Q260" s="5">
        <f t="shared" ref="Q260" si="564">P260*O260</f>
        <v>3.1125380000000002</v>
      </c>
      <c r="R260" s="6">
        <f t="shared" ref="R260" si="565">IFERROR(Q260+N260+L260,"")</f>
        <v>3.1125380000000002</v>
      </c>
    </row>
    <row r="261" spans="1:18" x14ac:dyDescent="0.25">
      <c r="A261" t="s">
        <v>28</v>
      </c>
      <c r="B261" t="str">
        <f t="shared" ref="B261" si="566">IF($G260="","Hide","Show")</f>
        <v>Show</v>
      </c>
      <c r="H261" t="str">
        <f>"1-1 lb"</f>
        <v>1-1 lb</v>
      </c>
    </row>
    <row r="262" spans="1:18" x14ac:dyDescent="0.25">
      <c r="A262" t="s">
        <v>28</v>
      </c>
      <c r="B262" t="str">
        <f t="shared" si="481"/>
        <v>Show</v>
      </c>
      <c r="E262" s="1"/>
      <c r="F262" t="str">
        <f>"""Ceres4"",""TCP-LIVE"",""27"",""1"",""P420004"""</f>
        <v>"Ceres4","TCP-LIVE","27","1","P420004"</v>
      </c>
      <c r="G262" t="str">
        <f>"P420004"</f>
        <v>P420004</v>
      </c>
      <c r="H262" t="str">
        <f>"Protein - Bacon"</f>
        <v>Protein - Bacon</v>
      </c>
      <c r="I262" s="5" t="str">
        <f>"CS"</f>
        <v>CS</v>
      </c>
      <c r="J262" s="5">
        <v>15</v>
      </c>
      <c r="K262" s="5">
        <v>0</v>
      </c>
      <c r="L262" t="str">
        <f t="shared" ref="L262" si="567">IFERROR(IF(K262*J262=0,"0",K262*J262),0)</f>
        <v>0</v>
      </c>
      <c r="M262" s="5">
        <v>0</v>
      </c>
      <c r="N262" t="str">
        <f t="shared" ref="N262" si="568">IF(M262*J262=0,"0",M262*J262)</f>
        <v>0</v>
      </c>
      <c r="O262" s="5">
        <v>1.2</v>
      </c>
      <c r="P262" s="5">
        <v>58.58</v>
      </c>
      <c r="Q262" s="5">
        <f t="shared" ref="Q262" si="569">P262*O262</f>
        <v>70.295999999999992</v>
      </c>
      <c r="R262" s="6">
        <f t="shared" ref="R262" si="570">IFERROR(Q262+N262+L262,"")</f>
        <v>70.295999999999992</v>
      </c>
    </row>
    <row r="263" spans="1:18" x14ac:dyDescent="0.25">
      <c r="A263" t="s">
        <v>28</v>
      </c>
      <c r="B263" t="str">
        <f t="shared" ref="B263" si="571">IF($G262="","Hide","Show")</f>
        <v>Show</v>
      </c>
      <c r="H263" t="str">
        <f>"15 lb box"</f>
        <v>15 lb box</v>
      </c>
    </row>
    <row r="264" spans="1:18" x14ac:dyDescent="0.25">
      <c r="A264" t="s">
        <v>28</v>
      </c>
      <c r="B264" t="str">
        <f t="shared" si="481"/>
        <v>Show</v>
      </c>
      <c r="E264" s="1"/>
      <c r="F264" t="str">
        <f>"""Ceres4"",""TCP-LIVE"",""27"",""1"",""P420005"""</f>
        <v>"Ceres4","TCP-LIVE","27","1","P420005"</v>
      </c>
      <c r="G264" t="str">
        <f>"P420005"</f>
        <v>P420005</v>
      </c>
      <c r="H264" t="str">
        <f>"Protein - Lunchmeat - Slice Ham"</f>
        <v>Protein - Lunchmeat - Slice Ham</v>
      </c>
      <c r="I264" s="5" t="str">
        <f>"EA"</f>
        <v>EA</v>
      </c>
      <c r="J264" s="5">
        <v>2</v>
      </c>
      <c r="K264" s="5">
        <v>0</v>
      </c>
      <c r="L264" t="str">
        <f t="shared" ref="L264" si="572">IFERROR(IF(K264*J264=0,"0",K264*J264),0)</f>
        <v>0</v>
      </c>
      <c r="M264" s="5">
        <v>0</v>
      </c>
      <c r="N264" t="str">
        <f t="shared" ref="N264" si="573">IF(M264*J264=0,"0",M264*J264)</f>
        <v>0</v>
      </c>
      <c r="O264" s="5">
        <v>1.1000000000000001</v>
      </c>
      <c r="P264" s="5">
        <v>5.1025</v>
      </c>
      <c r="Q264" s="5">
        <f t="shared" ref="Q264" si="574">P264*O264</f>
        <v>5.6127500000000001</v>
      </c>
      <c r="R264" s="6">
        <f t="shared" ref="R264" si="575">IFERROR(Q264+N264+L264,"")</f>
        <v>5.6127500000000001</v>
      </c>
    </row>
    <row r="265" spans="1:18" x14ac:dyDescent="0.25">
      <c r="A265" t="s">
        <v>28</v>
      </c>
      <c r="B265" t="str">
        <f t="shared" ref="B265" si="576">IF($G264="","Hide","Show")</f>
        <v>Show</v>
      </c>
      <c r="H265" t="str">
        <f>"1 -2 lb"</f>
        <v>1 -2 lb</v>
      </c>
    </row>
    <row r="266" spans="1:18" x14ac:dyDescent="0.25">
      <c r="A266" t="s">
        <v>28</v>
      </c>
      <c r="B266" t="str">
        <f t="shared" si="481"/>
        <v>Show</v>
      </c>
      <c r="E266" s="1"/>
      <c r="F266" t="str">
        <f>"""Ceres4"",""TCP-LIVE"",""27"",""1"",""P420010"""</f>
        <v>"Ceres4","TCP-LIVE","27","1","P420010"</v>
      </c>
      <c r="G266" t="str">
        <f>"P420010"</f>
        <v>P420010</v>
      </c>
      <c r="H266" t="str">
        <f>"Protein - Sausage Pork Patties Raw"</f>
        <v>Protein - Sausage Pork Patties Raw</v>
      </c>
      <c r="I266" s="5" t="str">
        <f>"BAG"</f>
        <v>BAG</v>
      </c>
      <c r="J266" s="5">
        <v>2</v>
      </c>
      <c r="K266" s="5">
        <v>0</v>
      </c>
      <c r="L266" t="str">
        <f t="shared" ref="L266" si="577">IFERROR(IF(K266*J266=0,"0",K266*J266),0)</f>
        <v>0</v>
      </c>
      <c r="M266" s="5">
        <v>0</v>
      </c>
      <c r="N266" t="str">
        <f t="shared" ref="N266" si="578">IF(M266*J266=0,"0",M266*J266)</f>
        <v>0</v>
      </c>
      <c r="O266" s="5">
        <v>1.1000000000000001</v>
      </c>
      <c r="P266" s="5">
        <v>4.0166700000000004</v>
      </c>
      <c r="Q266" s="5">
        <f t="shared" ref="Q266" si="579">P266*O266</f>
        <v>4.4183370000000011</v>
      </c>
      <c r="R266" s="6">
        <f t="shared" ref="R266" si="580">IFERROR(Q266+N266+L266,"")</f>
        <v>4.4183370000000011</v>
      </c>
    </row>
    <row r="267" spans="1:18" x14ac:dyDescent="0.25">
      <c r="A267" t="s">
        <v>28</v>
      </c>
      <c r="B267" t="str">
        <f t="shared" ref="B267" si="581">IF($G266="","Hide","Show")</f>
        <v>Show</v>
      </c>
      <c r="H267" t="str">
        <f>"1 -2 lb "</f>
        <v xml:space="preserve">1 -2 lb </v>
      </c>
    </row>
    <row r="268" spans="1:18" x14ac:dyDescent="0.25">
      <c r="A268" t="s">
        <v>28</v>
      </c>
      <c r="B268" t="str">
        <f t="shared" si="481"/>
        <v>Show</v>
      </c>
      <c r="E268" s="1"/>
      <c r="F268" t="str">
        <f>"""Ceres4"",""TCP-LIVE"",""27"",""1"",""P429991"""</f>
        <v>"Ceres4","TCP-LIVE","27","1","P429991"</v>
      </c>
      <c r="G268" t="str">
        <f>"P429991"</f>
        <v>P429991</v>
      </c>
      <c r="H268" t="str">
        <f>"Protein - Chicken Wing Bufflo Jumbo 1 and 2 JT"</f>
        <v>Protein - Chicken Wing Bufflo Jumbo 1 and 2 JT</v>
      </c>
      <c r="I268" s="5" t="str">
        <f>"BAG"</f>
        <v>BAG</v>
      </c>
      <c r="J268" s="5">
        <v>5</v>
      </c>
      <c r="K268" s="5">
        <v>0</v>
      </c>
      <c r="L268" t="str">
        <f t="shared" ref="L268" si="582">IFERROR(IF(K268*J268=0,"0",K268*J268),0)</f>
        <v>0</v>
      </c>
      <c r="M268" s="5">
        <v>0</v>
      </c>
      <c r="N268" t="str">
        <f t="shared" ref="N268" si="583">IF(M268*J268=0,"0",M268*J268)</f>
        <v>0</v>
      </c>
      <c r="O268" s="5">
        <v>1.1000000000000001</v>
      </c>
      <c r="P268" s="5">
        <v>21.713329999999999</v>
      </c>
      <c r="Q268" s="5">
        <f t="shared" ref="Q268" si="584">P268*O268</f>
        <v>23.884663</v>
      </c>
      <c r="R268" s="6">
        <f t="shared" ref="R268" si="585">IFERROR(Q268+N268+L268,"")</f>
        <v>23.884663</v>
      </c>
    </row>
    <row r="269" spans="1:18" x14ac:dyDescent="0.25">
      <c r="A269" t="s">
        <v>28</v>
      </c>
      <c r="B269" t="str">
        <f t="shared" ref="B269" si="586">IF($G268="","Hide","Show")</f>
        <v>Show</v>
      </c>
      <c r="H269" t="str">
        <f>"1 - 5 lb"</f>
        <v>1 - 5 lb</v>
      </c>
    </row>
    <row r="270" spans="1:18" x14ac:dyDescent="0.25">
      <c r="A270" t="s">
        <v>28</v>
      </c>
      <c r="B270" t="str">
        <f t="shared" si="481"/>
        <v>Show</v>
      </c>
      <c r="E270" s="1"/>
      <c r="F270" t="str">
        <f>"""Ceres4"",""TCP-LIVE"",""27"",""1"",""P439997"""</f>
        <v>"Ceres4","TCP-LIVE","27","1","P439997"</v>
      </c>
      <c r="G270" t="str">
        <f>"P439997"</f>
        <v>P439997</v>
      </c>
      <c r="H270" t="str">
        <f>"Protein - Pulled Pork shredded"</f>
        <v>Protein - Pulled Pork shredded</v>
      </c>
      <c r="I270" s="5" t="str">
        <f>"BAG"</f>
        <v>BAG</v>
      </c>
      <c r="J270" s="5">
        <v>3</v>
      </c>
      <c r="K270" s="5">
        <v>0</v>
      </c>
      <c r="L270" t="str">
        <f t="shared" ref="L270" si="587">IFERROR(IF(K270*J270=0,"0",K270*J270),0)</f>
        <v>0</v>
      </c>
      <c r="M270" s="5">
        <v>0</v>
      </c>
      <c r="N270" t="str">
        <f t="shared" ref="N270" si="588">IF(M270*J270=0,"0",M270*J270)</f>
        <v>0</v>
      </c>
      <c r="O270" s="5">
        <v>1</v>
      </c>
      <c r="P270" s="5">
        <v>18.121109999999998</v>
      </c>
      <c r="Q270" s="5">
        <f t="shared" ref="Q270" si="589">P270*O270</f>
        <v>18.121109999999998</v>
      </c>
      <c r="R270" s="6">
        <f t="shared" ref="R270" si="590">IFERROR(Q270+N270+L270,"")</f>
        <v>18.121109999999998</v>
      </c>
    </row>
    <row r="271" spans="1:18" x14ac:dyDescent="0.25">
      <c r="A271" t="s">
        <v>28</v>
      </c>
      <c r="B271" t="str">
        <f t="shared" ref="B271" si="591">IF($G270="","Hide","Show")</f>
        <v>Show</v>
      </c>
      <c r="H271" t="str">
        <f>"2.5 lbs"</f>
        <v>2.5 lbs</v>
      </c>
    </row>
    <row r="272" spans="1:18" x14ac:dyDescent="0.25">
      <c r="A272" t="s">
        <v>28</v>
      </c>
      <c r="B272" t="str">
        <f t="shared" si="481"/>
        <v>Show</v>
      </c>
      <c r="E272" s="1"/>
      <c r="F272" t="str">
        <f>"""Ceres4"",""TCP-LIVE"",""27"",""1"",""P440001"""</f>
        <v>"Ceres4","TCP-LIVE","27","1","P440001"</v>
      </c>
      <c r="G272" t="str">
        <f>"P440001"</f>
        <v>P440001</v>
      </c>
      <c r="H272" t="str">
        <f>"Protein- Chicken Drum Sticks"</f>
        <v>Protein- Chicken Drum Sticks</v>
      </c>
      <c r="I272" s="5" t="str">
        <f>"BAG"</f>
        <v>BAG</v>
      </c>
      <c r="J272" s="5">
        <v>10</v>
      </c>
      <c r="K272" s="5">
        <v>0</v>
      </c>
      <c r="L272" t="str">
        <f t="shared" ref="L272" si="592">IFERROR(IF(K272*J272=0,"0",K272*J272),0)</f>
        <v>0</v>
      </c>
      <c r="M272" s="5">
        <v>0</v>
      </c>
      <c r="N272" t="str">
        <f t="shared" ref="N272" si="593">IF(M272*J272=0,"0",M272*J272)</f>
        <v>0</v>
      </c>
      <c r="O272" s="5">
        <v>1</v>
      </c>
      <c r="P272" s="5">
        <v>5</v>
      </c>
      <c r="Q272" s="5">
        <f t="shared" ref="Q272" si="594">P272*O272</f>
        <v>5</v>
      </c>
      <c r="R272" s="6">
        <f t="shared" ref="R272" si="595">IFERROR(Q272+N272+L272,"")</f>
        <v>5</v>
      </c>
    </row>
    <row r="273" spans="1:18" x14ac:dyDescent="0.25">
      <c r="A273" t="s">
        <v>28</v>
      </c>
      <c r="B273" t="str">
        <f t="shared" ref="B273" si="596">IF($G272="","Hide","Show")</f>
        <v>Show</v>
      </c>
      <c r="H273" t="str">
        <f>"1-10 lb bag"</f>
        <v>1-10 lb bag</v>
      </c>
    </row>
    <row r="274" spans="1:18" x14ac:dyDescent="0.25">
      <c r="A274" t="s">
        <v>28</v>
      </c>
      <c r="B274" t="str">
        <f t="shared" si="481"/>
        <v>Show</v>
      </c>
      <c r="E274" s="1"/>
      <c r="F274" t="str">
        <f>"""Ceres4"",""TCP-LIVE"",""27"",""1"",""P440002"""</f>
        <v>"Ceres4","TCP-LIVE","27","1","P440002"</v>
      </c>
      <c r="G274" t="str">
        <f>"P440002"</f>
        <v>P440002</v>
      </c>
      <c r="H274" t="str">
        <f>"Protein - Chicken Drumstick Cooked"</f>
        <v>Protein - Chicken Drumstick Cooked</v>
      </c>
      <c r="I274" s="5" t="str">
        <f>"BOX"</f>
        <v>BOX</v>
      </c>
      <c r="J274" s="5">
        <v>10</v>
      </c>
      <c r="K274" s="5">
        <v>0</v>
      </c>
      <c r="L274" t="str">
        <f t="shared" ref="L274" si="597">IFERROR(IF(K274*J274=0,"0",K274*J274),0)</f>
        <v>0</v>
      </c>
      <c r="M274" s="5">
        <v>0</v>
      </c>
      <c r="N274" t="str">
        <f t="shared" ref="N274" si="598">IF(M274*J274=0,"0",M274*J274)</f>
        <v>0</v>
      </c>
      <c r="O274" s="5">
        <v>1.1000000000000001</v>
      </c>
      <c r="P274" s="5">
        <v>24.735709999999997</v>
      </c>
      <c r="Q274" s="5">
        <f t="shared" ref="Q274" si="599">P274*O274</f>
        <v>27.209281000000001</v>
      </c>
      <c r="R274" s="6">
        <f t="shared" ref="R274" si="600">IFERROR(Q274+N274+L274,"")</f>
        <v>27.209281000000001</v>
      </c>
    </row>
    <row r="275" spans="1:18" x14ac:dyDescent="0.25">
      <c r="A275" t="s">
        <v>28</v>
      </c>
      <c r="B275" t="str">
        <f t="shared" ref="B275" si="601">IF($G274="","Hide","Show")</f>
        <v>Show</v>
      </c>
      <c r="H275" t="str">
        <f>"2- 5 lb bags"</f>
        <v>2- 5 lb bags</v>
      </c>
    </row>
    <row r="276" spans="1:18" x14ac:dyDescent="0.25">
      <c r="A276" t="s">
        <v>28</v>
      </c>
      <c r="B276" t="str">
        <f t="shared" si="481"/>
        <v>Show</v>
      </c>
      <c r="E276" s="1"/>
      <c r="F276" t="str">
        <f>"""Ceres4"",""TCP-LIVE"",""27"",""1"",""P440003"""</f>
        <v>"Ceres4","TCP-LIVE","27","1","P440003"</v>
      </c>
      <c r="G276" t="str">
        <f>"P440003"</f>
        <v>P440003</v>
      </c>
      <c r="H276" t="str">
        <f>"Protein - Chicken Breast"</f>
        <v>Protein - Chicken Breast</v>
      </c>
      <c r="I276" s="5" t="str">
        <f>"CS"</f>
        <v>CS</v>
      </c>
      <c r="J276" s="5">
        <v>2</v>
      </c>
      <c r="K276" s="5">
        <v>0</v>
      </c>
      <c r="L276" t="str">
        <f t="shared" ref="L276" si="602">IFERROR(IF(K276*J276=0,"0",K276*J276),0)</f>
        <v>0</v>
      </c>
      <c r="M276" s="5">
        <v>0</v>
      </c>
      <c r="N276" t="str">
        <f t="shared" ref="N276" si="603">IF(M276*J276=0,"0",M276*J276)</f>
        <v>0</v>
      </c>
      <c r="O276" s="5">
        <v>1.1000000000000001</v>
      </c>
      <c r="P276" s="5">
        <v>10.340739999999998</v>
      </c>
      <c r="Q276" s="5">
        <f t="shared" ref="Q276" si="604">P276*O276</f>
        <v>11.374813999999999</v>
      </c>
      <c r="R276" s="6">
        <f t="shared" ref="R276" si="605">IFERROR(Q276+N276+L276,"")</f>
        <v>11.374813999999999</v>
      </c>
    </row>
    <row r="277" spans="1:18" x14ac:dyDescent="0.25">
      <c r="A277" t="s">
        <v>28</v>
      </c>
      <c r="B277" t="str">
        <f t="shared" ref="B277" si="606">IF($G276="","Hide","Show")</f>
        <v>Show</v>
      </c>
      <c r="H277" t="str">
        <f>"8- 4 oz"</f>
        <v>8- 4 oz</v>
      </c>
    </row>
    <row r="278" spans="1:18" x14ac:dyDescent="0.25">
      <c r="A278" t="s">
        <v>28</v>
      </c>
      <c r="B278" t="str">
        <f t="shared" si="481"/>
        <v>Show</v>
      </c>
      <c r="E278" s="1"/>
      <c r="F278" t="str">
        <f>"""Ceres4"",""TCP-LIVE"",""27"",""1"",""P440020"""</f>
        <v>"Ceres4","TCP-LIVE","27","1","P440020"</v>
      </c>
      <c r="G278" t="str">
        <f>"P440020"</f>
        <v>P440020</v>
      </c>
      <c r="H278" t="str">
        <f>"Protein - Corn Dogs"</f>
        <v>Protein - Corn Dogs</v>
      </c>
      <c r="I278" s="5" t="str">
        <f>"BAG"</f>
        <v>BAG</v>
      </c>
      <c r="J278" s="5">
        <v>1</v>
      </c>
      <c r="K278" s="5">
        <v>0</v>
      </c>
      <c r="L278" t="str">
        <f t="shared" ref="L278" si="607">IFERROR(IF(K278*J278=0,"0",K278*J278),0)</f>
        <v>0</v>
      </c>
      <c r="M278" s="5">
        <v>0</v>
      </c>
      <c r="N278" t="str">
        <f t="shared" ref="N278" si="608">IF(M278*J278=0,"0",M278*J278)</f>
        <v>0</v>
      </c>
      <c r="O278" s="5">
        <v>1.1000000000000001</v>
      </c>
      <c r="P278" s="5">
        <v>2.5402800000000001</v>
      </c>
      <c r="Q278" s="5">
        <f t="shared" ref="Q278" si="609">P278*O278</f>
        <v>2.7943080000000005</v>
      </c>
      <c r="R278" s="6">
        <f t="shared" ref="R278" si="610">IFERROR(Q278+N278+L278,"")</f>
        <v>2.7943080000000005</v>
      </c>
    </row>
    <row r="279" spans="1:18" x14ac:dyDescent="0.25">
      <c r="A279" t="s">
        <v>28</v>
      </c>
      <c r="B279" t="str">
        <f t="shared" ref="B279" si="611">IF($G278="","Hide","Show")</f>
        <v>Show</v>
      </c>
      <c r="H279" t="str">
        <f>"6 corn dogs   repack item"</f>
        <v>6 corn dogs   repack item</v>
      </c>
    </row>
    <row r="280" spans="1:18" x14ac:dyDescent="0.25">
      <c r="A280" t="s">
        <v>28</v>
      </c>
      <c r="B280" t="str">
        <f t="shared" si="481"/>
        <v>Show</v>
      </c>
      <c r="E280" s="1"/>
      <c r="F280" t="str">
        <f>"""Ceres4"",""TCP-LIVE"",""27"",""1"",""P440034"""</f>
        <v>"Ceres4","TCP-LIVE","27","1","P440034"</v>
      </c>
      <c r="G280" t="str">
        <f>"P440034"</f>
        <v>P440034</v>
      </c>
      <c r="H280" t="str">
        <f>"Protein - Chicken Leg Quarters"</f>
        <v>Protein - Chicken Leg Quarters</v>
      </c>
      <c r="I280" s="5" t="str">
        <f>"BAG"</f>
        <v>BAG</v>
      </c>
      <c r="J280" s="5">
        <v>10</v>
      </c>
      <c r="K280" s="5">
        <v>0</v>
      </c>
      <c r="L280" t="str">
        <f t="shared" ref="L280" si="612">IFERROR(IF(K280*J280=0,"0",K280*J280),0)</f>
        <v>0</v>
      </c>
      <c r="M280" s="5">
        <v>0</v>
      </c>
      <c r="N280" t="str">
        <f t="shared" ref="N280" si="613">IF(M280*J280=0,"0",M280*J280)</f>
        <v>0</v>
      </c>
      <c r="O280" s="5">
        <v>1.1000000000000001</v>
      </c>
      <c r="P280" s="5">
        <v>7.6323500000000006</v>
      </c>
      <c r="Q280" s="5">
        <f t="shared" ref="Q280" si="614">P280*O280</f>
        <v>8.3955850000000005</v>
      </c>
      <c r="R280" s="6">
        <f t="shared" ref="R280" si="615">IFERROR(Q280+N280+L280,"")</f>
        <v>8.3955850000000005</v>
      </c>
    </row>
    <row r="281" spans="1:18" x14ac:dyDescent="0.25">
      <c r="A281" t="s">
        <v>28</v>
      </c>
      <c r="B281" t="str">
        <f t="shared" ref="B281" si="616">IF($G280="","Hide","Show")</f>
        <v>Show</v>
      </c>
      <c r="H281" t="str">
        <f>"10 lb bag"</f>
        <v>10 lb bag</v>
      </c>
    </row>
    <row r="282" spans="1:18" x14ac:dyDescent="0.25">
      <c r="A282" t="s">
        <v>28</v>
      </c>
      <c r="B282" t="str">
        <f t="shared" si="481"/>
        <v>Show</v>
      </c>
      <c r="E282" s="1"/>
      <c r="F282" t="str">
        <f>"""Ceres4"",""TCP-LIVE"",""27"",""1"",""P441001"""</f>
        <v>"Ceres4","TCP-LIVE","27","1","P441001"</v>
      </c>
      <c r="G282" t="str">
        <f>"P441001"</f>
        <v>P441001</v>
      </c>
      <c r="H282" t="str">
        <f>"Protein - Chicken Nuggets"</f>
        <v>Protein - Chicken Nuggets</v>
      </c>
      <c r="I282" s="5" t="str">
        <f>"BAG"</f>
        <v>BAG</v>
      </c>
      <c r="J282" s="5">
        <v>5</v>
      </c>
      <c r="K282" s="5">
        <v>0</v>
      </c>
      <c r="L282" t="str">
        <f t="shared" ref="L282" si="617">IFERROR(IF(K282*J282=0,"0",K282*J282),0)</f>
        <v>0</v>
      </c>
      <c r="M282" s="5">
        <v>0</v>
      </c>
      <c r="N282" t="str">
        <f t="shared" ref="N282" si="618">IF(M282*J282=0,"0",M282*J282)</f>
        <v>0</v>
      </c>
      <c r="O282" s="5">
        <v>1.1000000000000001</v>
      </c>
      <c r="P282" s="5">
        <v>10.937799999999999</v>
      </c>
      <c r="Q282" s="5">
        <f t="shared" ref="Q282" si="619">P282*O282</f>
        <v>12.03158</v>
      </c>
      <c r="R282" s="6">
        <f t="shared" ref="R282" si="620">IFERROR(Q282+N282+L282,"")</f>
        <v>12.03158</v>
      </c>
    </row>
    <row r="283" spans="1:18" x14ac:dyDescent="0.25">
      <c r="A283" t="s">
        <v>28</v>
      </c>
      <c r="B283" t="str">
        <f t="shared" ref="B283" si="621">IF($G282="","Hide","Show")</f>
        <v>Show</v>
      </c>
      <c r="H283" t="str">
        <f>"5 lb bag"</f>
        <v>5 lb bag</v>
      </c>
    </row>
    <row r="284" spans="1:18" x14ac:dyDescent="0.25">
      <c r="A284" t="s">
        <v>28</v>
      </c>
      <c r="B284" t="str">
        <f t="shared" si="481"/>
        <v>Show</v>
      </c>
      <c r="E284" s="1"/>
      <c r="F284" t="str">
        <f>"""Ceres4"",""TCP-LIVE"",""27"",""1"",""P449990"""</f>
        <v>"Ceres4","TCP-LIVE","27","1","P449990"</v>
      </c>
      <c r="G284" t="str">
        <f>"P449990"</f>
        <v>P449990</v>
      </c>
      <c r="H284" t="str">
        <f>"Protein - Chicken Wings Smoked 1 and 2 JT "</f>
        <v xml:space="preserve">Protein - Chicken Wings Smoked 1 and 2 JT </v>
      </c>
      <c r="I284" s="5" t="str">
        <f>"BAG"</f>
        <v>BAG</v>
      </c>
      <c r="J284" s="5">
        <v>5</v>
      </c>
      <c r="K284" s="5">
        <v>0</v>
      </c>
      <c r="L284" t="str">
        <f t="shared" ref="L284" si="622">IFERROR(IF(K284*J284=0,"0",K284*J284),0)</f>
        <v>0</v>
      </c>
      <c r="M284" s="5">
        <v>0</v>
      </c>
      <c r="N284" t="str">
        <f t="shared" ref="N284" si="623">IF(M284*J284=0,"0",M284*J284)</f>
        <v>0</v>
      </c>
      <c r="O284" s="5">
        <v>1.1000000000000001</v>
      </c>
      <c r="P284" s="5">
        <v>24.075000000000003</v>
      </c>
      <c r="Q284" s="5">
        <f t="shared" ref="Q284" si="624">P284*O284</f>
        <v>26.482500000000005</v>
      </c>
      <c r="R284" s="6">
        <f t="shared" ref="R284" si="625">IFERROR(Q284+N284+L284,"")</f>
        <v>26.482500000000005</v>
      </c>
    </row>
    <row r="285" spans="1:18" x14ac:dyDescent="0.25">
      <c r="A285" t="s">
        <v>28</v>
      </c>
      <c r="B285" t="str">
        <f t="shared" ref="B285" si="626">IF($G284="","Hide","Show")</f>
        <v>Show</v>
      </c>
      <c r="H285" t="str">
        <f>"1- 5 lb bag"</f>
        <v>1- 5 lb bag</v>
      </c>
    </row>
    <row r="286" spans="1:18" x14ac:dyDescent="0.25">
      <c r="A286" t="s">
        <v>28</v>
      </c>
      <c r="B286" t="str">
        <f t="shared" si="481"/>
        <v>Show</v>
      </c>
      <c r="E286" s="1"/>
      <c r="F286" t="str">
        <f>"""Ceres4"",""TCP-LIVE"",""27"",""1"",""P449992"""</f>
        <v>"Ceres4","TCP-LIVE","27","1","P449992"</v>
      </c>
      <c r="G286" t="str">
        <f>"P449992"</f>
        <v>P449992</v>
      </c>
      <c r="H286" t="str">
        <f>"Protein- Chicken Wings 1 and 2 JT Chicken Frozen"</f>
        <v>Protein- Chicken Wings 1 and 2 JT Chicken Frozen</v>
      </c>
      <c r="I286" s="5" t="str">
        <f>"BAG"</f>
        <v>BAG</v>
      </c>
      <c r="J286" s="5">
        <v>6</v>
      </c>
      <c r="K286" s="5">
        <v>0</v>
      </c>
      <c r="L286" t="str">
        <f t="shared" ref="L286" si="627">IFERROR(IF(K286*J286=0,"0",K286*J286),0)</f>
        <v>0</v>
      </c>
      <c r="M286" s="5">
        <v>0</v>
      </c>
      <c r="N286" t="str">
        <f t="shared" ref="N286" si="628">IF(M286*J286=0,"0",M286*J286)</f>
        <v>0</v>
      </c>
      <c r="O286" s="5">
        <v>1.1000000000000001</v>
      </c>
      <c r="P286" s="5">
        <v>14.997999999999999</v>
      </c>
      <c r="Q286" s="5">
        <f t="shared" ref="Q286" si="629">P286*O286</f>
        <v>16.497800000000002</v>
      </c>
      <c r="R286" s="6">
        <f t="shared" ref="R286" si="630">IFERROR(Q286+N286+L286,"")</f>
        <v>16.497800000000002</v>
      </c>
    </row>
    <row r="287" spans="1:18" x14ac:dyDescent="0.25">
      <c r="A287" t="s">
        <v>28</v>
      </c>
      <c r="B287" t="str">
        <f t="shared" ref="B287" si="631">IF($G286="","Hide","Show")</f>
        <v>Show</v>
      </c>
      <c r="H287" t="str">
        <f>"1-6 lb bag"</f>
        <v>1-6 lb bag</v>
      </c>
    </row>
    <row r="288" spans="1:18" x14ac:dyDescent="0.25">
      <c r="A288" t="s">
        <v>28</v>
      </c>
      <c r="B288" t="str">
        <f t="shared" si="481"/>
        <v>Show</v>
      </c>
      <c r="E288" s="1"/>
      <c r="F288" t="str">
        <f>"""Ceres4"",""TCP-LIVE"",""27"",""1"",""P449993"""</f>
        <v>"Ceres4","TCP-LIVE","27","1","P449993"</v>
      </c>
      <c r="G288" t="str">
        <f>"P449993"</f>
        <v>P449993</v>
      </c>
      <c r="H288" t="str">
        <f>"Protein - Chicken Wings "</f>
        <v xml:space="preserve">Protein - Chicken Wings </v>
      </c>
      <c r="I288" s="5" t="str">
        <f>"BAG"</f>
        <v>BAG</v>
      </c>
      <c r="J288" s="5">
        <v>10</v>
      </c>
      <c r="K288" s="5">
        <v>0</v>
      </c>
      <c r="L288" t="str">
        <f t="shared" ref="L288" si="632">IFERROR(IF(K288*J288=0,"0",K288*J288),0)</f>
        <v>0</v>
      </c>
      <c r="M288" s="5">
        <v>0</v>
      </c>
      <c r="N288" t="str">
        <f t="shared" ref="N288" si="633">IF(M288*J288=0,"0",M288*J288)</f>
        <v>0</v>
      </c>
      <c r="O288" s="5">
        <v>1.1000000000000001</v>
      </c>
      <c r="P288" s="5">
        <v>11.734</v>
      </c>
      <c r="Q288" s="5">
        <f t="shared" ref="Q288" si="634">P288*O288</f>
        <v>12.907400000000001</v>
      </c>
      <c r="R288" s="6">
        <f t="shared" ref="R288" si="635">IFERROR(Q288+N288+L288,"")</f>
        <v>12.907400000000001</v>
      </c>
    </row>
    <row r="289" spans="1:18" x14ac:dyDescent="0.25">
      <c r="A289" t="s">
        <v>28</v>
      </c>
      <c r="B289" t="str">
        <f t="shared" ref="B289" si="636">IF($G288="","Hide","Show")</f>
        <v>Show</v>
      </c>
      <c r="H289" t="str">
        <f>"1-10 lb bag"</f>
        <v>1-10 lb bag</v>
      </c>
    </row>
    <row r="290" spans="1:18" x14ac:dyDescent="0.25">
      <c r="A290" t="s">
        <v>28</v>
      </c>
      <c r="B290" t="str">
        <f t="shared" si="481"/>
        <v>Show</v>
      </c>
      <c r="E290" s="1"/>
      <c r="F290" t="str">
        <f>"""Ceres4"",""TCP-LIVE"",""27"",""1"",""P449996"""</f>
        <v>"Ceres4","TCP-LIVE","27","1","P449996"</v>
      </c>
      <c r="G290" t="str">
        <f>"P449996"</f>
        <v>P449996</v>
      </c>
      <c r="H290" t="str">
        <f>"Protein-Chuck White Chicken"</f>
        <v>Protein-Chuck White Chicken</v>
      </c>
      <c r="I290" s="5" t="str">
        <f>"CS"</f>
        <v>CS</v>
      </c>
      <c r="J290" s="5">
        <v>8</v>
      </c>
      <c r="K290" s="5">
        <v>0</v>
      </c>
      <c r="L290" t="str">
        <f t="shared" ref="L290" si="637">IFERROR(IF(K290*J290=0,"0",K290*J290),0)</f>
        <v>0</v>
      </c>
      <c r="M290" s="5">
        <v>0</v>
      </c>
      <c r="N290" t="str">
        <f t="shared" ref="N290" si="638">IF(M290*J290=0,"0",M290*J290)</f>
        <v>0</v>
      </c>
      <c r="O290" s="5">
        <v>1.2</v>
      </c>
      <c r="P290" s="5">
        <v>18.11</v>
      </c>
      <c r="Q290" s="5">
        <f t="shared" ref="Q290" si="639">P290*O290</f>
        <v>21.731999999999999</v>
      </c>
      <c r="R290" s="6">
        <f t="shared" ref="R290" si="640">IFERROR(Q290+N290+L290,"")</f>
        <v>21.731999999999999</v>
      </c>
    </row>
    <row r="291" spans="1:18" x14ac:dyDescent="0.25">
      <c r="A291" t="s">
        <v>28</v>
      </c>
      <c r="B291" t="str">
        <f t="shared" ref="B291" si="641">IF($G290="","Hide","Show")</f>
        <v>Show</v>
      </c>
      <c r="H291" t="str">
        <f>"24-5 oz"</f>
        <v>24-5 oz</v>
      </c>
    </row>
    <row r="292" spans="1:18" x14ac:dyDescent="0.25">
      <c r="A292" t="s">
        <v>28</v>
      </c>
      <c r="B292" t="str">
        <f t="shared" ref="B292:B296" si="642">IF($G292="","Hide","Show")</f>
        <v>Show</v>
      </c>
      <c r="E292" s="1"/>
      <c r="F292" t="str">
        <f>"""Ceres4"",""TCP-LIVE"",""27"",""1"",""P450000"""</f>
        <v>"Ceres4","TCP-LIVE","27","1","P450000"</v>
      </c>
      <c r="G292" t="str">
        <f>"P450000"</f>
        <v>P450000</v>
      </c>
      <c r="H292" t="str">
        <f>"Protein - Turkeys "</f>
        <v xml:space="preserve">Protein - Turkeys </v>
      </c>
      <c r="I292" s="5" t="str">
        <f>"EA"</f>
        <v>EA</v>
      </c>
      <c r="J292" s="5">
        <v>13</v>
      </c>
      <c r="K292" s="5">
        <v>0</v>
      </c>
      <c r="L292" t="str">
        <f t="shared" ref="L292" si="643">IFERROR(IF(K292*J292=0,"0",K292*J292),0)</f>
        <v>0</v>
      </c>
      <c r="M292" s="5">
        <v>0</v>
      </c>
      <c r="N292" t="str">
        <f t="shared" ref="N292" si="644">IF(M292*J292=0,"0",M292*J292)</f>
        <v>0</v>
      </c>
      <c r="O292" s="5">
        <v>1</v>
      </c>
      <c r="P292" s="5">
        <v>16.037610000000001</v>
      </c>
      <c r="Q292" s="5">
        <f t="shared" ref="Q292" si="645">P292*O292</f>
        <v>16.037610000000001</v>
      </c>
      <c r="R292" s="6">
        <f t="shared" ref="R292" si="646">IFERROR(Q292+N292+L292,"")</f>
        <v>16.037610000000001</v>
      </c>
    </row>
    <row r="293" spans="1:18" x14ac:dyDescent="0.25">
      <c r="A293" t="s">
        <v>28</v>
      </c>
      <c r="B293" t="str">
        <f t="shared" ref="B293" si="647">IF($G292="","Hide","Show")</f>
        <v>Show</v>
      </c>
      <c r="H293" t="str">
        <f>"1- 13 lb "</f>
        <v xml:space="preserve">1- 13 lb </v>
      </c>
    </row>
    <row r="294" spans="1:18" x14ac:dyDescent="0.25">
      <c r="A294" t="s">
        <v>28</v>
      </c>
      <c r="B294" t="str">
        <f t="shared" si="642"/>
        <v>Show</v>
      </c>
      <c r="E294" s="1"/>
      <c r="F294" t="str">
        <f>"""Ceres4"",""TCP-LIVE"",""27"",""1"",""P480007"""</f>
        <v>"Ceres4","TCP-LIVE","27","1","P480007"</v>
      </c>
      <c r="G294" t="str">
        <f>"P480007"</f>
        <v>P480007</v>
      </c>
      <c r="H294" t="str">
        <f>"Protein - Sliced Turkey Breast Sandwich meat"</f>
        <v>Protein - Sliced Turkey Breast Sandwich meat</v>
      </c>
      <c r="I294" s="5" t="str">
        <f>"EA"</f>
        <v>EA</v>
      </c>
      <c r="J294" s="5">
        <v>2</v>
      </c>
      <c r="K294" s="5">
        <v>0</v>
      </c>
      <c r="L294" t="str">
        <f t="shared" ref="L294" si="648">IFERROR(IF(K294*J294=0,"0",K294*J294),0)</f>
        <v>0</v>
      </c>
      <c r="M294" s="5">
        <v>0</v>
      </c>
      <c r="N294" t="str">
        <f t="shared" ref="N294" si="649">IF(M294*J294=0,"0",M294*J294)</f>
        <v>0</v>
      </c>
      <c r="O294" s="5">
        <v>1.1000000000000001</v>
      </c>
      <c r="P294" s="5">
        <v>7.5166700000000004</v>
      </c>
      <c r="Q294" s="5">
        <f t="shared" ref="Q294" si="650">P294*O294</f>
        <v>8.2683370000000007</v>
      </c>
      <c r="R294" s="6">
        <f t="shared" ref="R294" si="651">IFERROR(Q294+N294+L294,"")</f>
        <v>8.2683370000000007</v>
      </c>
    </row>
    <row r="295" spans="1:18" x14ac:dyDescent="0.25">
      <c r="A295" t="s">
        <v>28</v>
      </c>
      <c r="B295" t="str">
        <f t="shared" ref="B295" si="652">IF($G294="","Hide","Show")</f>
        <v>Show</v>
      </c>
      <c r="H295" t="str">
        <f>"1-2 lb "</f>
        <v xml:space="preserve">1-2 lb </v>
      </c>
    </row>
    <row r="296" spans="1:18" x14ac:dyDescent="0.25">
      <c r="A296" t="s">
        <v>28</v>
      </c>
      <c r="B296" t="str">
        <f t="shared" si="642"/>
        <v>Show</v>
      </c>
      <c r="E296" s="1"/>
      <c r="F296" t="str">
        <f>"""Ceres4"",""TCP-LIVE"",""27"",""1"",""P480014"""</f>
        <v>"Ceres4","TCP-LIVE","27","1","P480014"</v>
      </c>
      <c r="G296" t="str">
        <f>"P480014"</f>
        <v>P480014</v>
      </c>
      <c r="H296" t="str">
        <f>"Protein - Luncheon Loaf"</f>
        <v>Protein - Luncheon Loaf</v>
      </c>
      <c r="I296" s="5" t="str">
        <f>"CS"</f>
        <v>CS</v>
      </c>
      <c r="J296" s="5">
        <v>18</v>
      </c>
      <c r="K296" s="5">
        <v>0</v>
      </c>
      <c r="L296" t="str">
        <f t="shared" ref="L296" si="653">IFERROR(IF(K296*J296=0,"0",K296*J296),0)</f>
        <v>0</v>
      </c>
      <c r="M296" s="5">
        <v>0</v>
      </c>
      <c r="N296" t="str">
        <f t="shared" ref="N296" si="654">IF(M296*J296=0,"0",M296*J296)</f>
        <v>0</v>
      </c>
      <c r="O296" s="5">
        <v>1.2</v>
      </c>
      <c r="P296" s="5">
        <v>28.910000000000004</v>
      </c>
      <c r="Q296" s="5">
        <f t="shared" ref="Q296" si="655">P296*O296</f>
        <v>34.692</v>
      </c>
      <c r="R296" s="6">
        <f t="shared" ref="R296" si="656">IFERROR(Q296+N296+L296,"")</f>
        <v>34.692</v>
      </c>
    </row>
    <row r="297" spans="1:18" x14ac:dyDescent="0.25">
      <c r="A297" t="s">
        <v>28</v>
      </c>
      <c r="B297" t="str">
        <f t="shared" ref="B297" si="657">IF($G296="","Hide","Show")</f>
        <v>Show</v>
      </c>
      <c r="H297" t="str">
        <f>"24-12 oz"</f>
        <v>24-12 oz</v>
      </c>
    </row>
    <row r="298" spans="1:18" x14ac:dyDescent="0.25">
      <c r="A298" t="s">
        <v>28</v>
      </c>
      <c r="B298" t="str">
        <f t="shared" ref="B298" si="658">IF($G228="","Hide","Show")</f>
        <v>Show</v>
      </c>
    </row>
    <row r="299" spans="1:18" ht="17.25" x14ac:dyDescent="0.3">
      <c r="A299" t="s">
        <v>28</v>
      </c>
      <c r="B299" t="str">
        <f t="shared" ref="B299" si="659">IF($G300="","Hide","Show")</f>
        <v>Show</v>
      </c>
      <c r="C299" t="str">
        <f>"""Ceres4"",""TCP-LIVE"",""14012281"",""1"",""PRO-NON"""</f>
        <v>"Ceres4","TCP-LIVE","14012281","1","PRO-NON"</v>
      </c>
      <c r="D299" t="s">
        <v>58</v>
      </c>
      <c r="E299" s="9" t="s">
        <v>10</v>
      </c>
      <c r="F299" s="2"/>
      <c r="G299" s="8" t="s">
        <v>63</v>
      </c>
    </row>
    <row r="300" spans="1:18" x14ac:dyDescent="0.25">
      <c r="A300" t="s">
        <v>28</v>
      </c>
      <c r="B300" t="str">
        <f t="shared" ref="B300:B304" si="660">IF($G300="","Hide","Show")</f>
        <v>Show</v>
      </c>
      <c r="E300" s="1"/>
      <c r="F300" t="s">
        <v>81</v>
      </c>
      <c r="G300" t="s">
        <v>64</v>
      </c>
      <c r="H300" t="s">
        <v>74</v>
      </c>
      <c r="I300" s="5" t="s">
        <v>71</v>
      </c>
      <c r="J300" s="5">
        <v>7</v>
      </c>
      <c r="K300" s="5">
        <v>0</v>
      </c>
      <c r="L300" t="str">
        <f t="shared" ref="L300" si="661">IFERROR(IF(K300*J300=0,"0",K300*J300),0)</f>
        <v>0</v>
      </c>
      <c r="M300" s="5">
        <v>0</v>
      </c>
      <c r="N300" t="str">
        <f t="shared" ref="N300" si="662">IF(M300*J300=0,"0",M300*J300)</f>
        <v>0</v>
      </c>
      <c r="O300" s="5">
        <v>1.1000000000000001</v>
      </c>
      <c r="P300" s="5">
        <v>7.92333</v>
      </c>
      <c r="Q300" s="5">
        <f t="shared" ref="Q300" si="663">P300*O300</f>
        <v>8.715663000000001</v>
      </c>
      <c r="R300" s="6">
        <f t="shared" ref="R300" si="664">IFERROR(Q300+N300+L300,"")</f>
        <v>8.715663000000001</v>
      </c>
    </row>
    <row r="301" spans="1:18" x14ac:dyDescent="0.25">
      <c r="A301" t="s">
        <v>28</v>
      </c>
      <c r="B301" t="str">
        <f t="shared" ref="B301" si="665">IF($G300="","Hide","Show")</f>
        <v>Show</v>
      </c>
      <c r="H301" t="s">
        <v>75</v>
      </c>
    </row>
    <row r="302" spans="1:18" x14ac:dyDescent="0.25">
      <c r="A302" t="s">
        <v>28</v>
      </c>
      <c r="B302" t="str">
        <f t="shared" si="660"/>
        <v>Show</v>
      </c>
      <c r="E302" s="1"/>
      <c r="F302" t="str">
        <f>"""Ceres4"",""TCP-LIVE"",""27"",""1"",""P490038"""</f>
        <v>"Ceres4","TCP-LIVE","27","1","P490038"</v>
      </c>
      <c r="G302" t="s">
        <v>65</v>
      </c>
      <c r="H302" t="s">
        <v>76</v>
      </c>
      <c r="I302" s="5" t="s">
        <v>72</v>
      </c>
      <c r="J302" s="5">
        <v>23</v>
      </c>
      <c r="K302" s="5">
        <v>0</v>
      </c>
      <c r="L302" t="str">
        <f t="shared" ref="L302" si="666">IFERROR(IF(K302*J302=0,"0",K302*J302),0)</f>
        <v>0</v>
      </c>
      <c r="M302" s="5">
        <v>0</v>
      </c>
      <c r="N302" t="str">
        <f t="shared" ref="N302" si="667">IF(M302*J302=0,"0",M302*J302)</f>
        <v>0</v>
      </c>
      <c r="O302" s="5">
        <v>1.2</v>
      </c>
      <c r="P302" s="5">
        <v>11.15</v>
      </c>
      <c r="Q302" s="5">
        <f t="shared" ref="Q302" si="668">P302*O302</f>
        <v>13.38</v>
      </c>
      <c r="R302" s="6">
        <f t="shared" ref="R302" si="669">IFERROR(Q302+N302+L302,"")</f>
        <v>13.38</v>
      </c>
    </row>
    <row r="303" spans="1:18" x14ac:dyDescent="0.25">
      <c r="A303" t="s">
        <v>28</v>
      </c>
      <c r="B303" t="str">
        <f t="shared" ref="B303" si="670">IF($G302="","Hide","Show")</f>
        <v>Show</v>
      </c>
      <c r="H303" t="s">
        <v>77</v>
      </c>
    </row>
    <row r="304" spans="1:18" x14ac:dyDescent="0.25">
      <c r="A304" t="s">
        <v>28</v>
      </c>
      <c r="B304" t="str">
        <f t="shared" si="660"/>
        <v>Show</v>
      </c>
      <c r="E304" s="1"/>
      <c r="F304" t="str">
        <f>"""Ceres4"",""TCP-LIVE"",""27"",""1"",""P490041"""</f>
        <v>"Ceres4","TCP-LIVE","27","1","P490041"</v>
      </c>
      <c r="G304" t="s">
        <v>66</v>
      </c>
      <c r="H304" t="s">
        <v>78</v>
      </c>
      <c r="I304" s="5" t="s">
        <v>72</v>
      </c>
      <c r="J304" s="5">
        <v>24</v>
      </c>
      <c r="K304" s="5">
        <v>0</v>
      </c>
      <c r="L304" t="str">
        <f t="shared" ref="L304" si="671">IFERROR(IF(K304*J304=0,"0",K304*J304),0)</f>
        <v>0</v>
      </c>
      <c r="M304" s="5">
        <v>0</v>
      </c>
      <c r="N304" t="str">
        <f t="shared" ref="N304" si="672">IF(M304*J304=0,"0",M304*J304)</f>
        <v>0</v>
      </c>
      <c r="O304" s="5">
        <v>1.2</v>
      </c>
      <c r="P304" s="5">
        <v>17.14</v>
      </c>
      <c r="Q304" s="5">
        <f t="shared" ref="Q304" si="673">P304*O304</f>
        <v>20.568000000000001</v>
      </c>
      <c r="R304" s="6">
        <f t="shared" ref="R304" si="674">IFERROR(Q304+N304+L304,"")</f>
        <v>20.568000000000001</v>
      </c>
    </row>
    <row r="305" spans="1:18" x14ac:dyDescent="0.25">
      <c r="A305" t="s">
        <v>28</v>
      </c>
      <c r="B305" t="str">
        <f t="shared" ref="B305" si="675">IF($G304="","Hide","Show")</f>
        <v>Show</v>
      </c>
      <c r="H305" t="s">
        <v>79</v>
      </c>
    </row>
    <row r="306" spans="1:18" x14ac:dyDescent="0.25">
      <c r="A306" t="s">
        <v>28</v>
      </c>
      <c r="B306" t="str">
        <f t="shared" ref="B306" si="676">IF($G300="","Hide","Show")</f>
        <v>Show</v>
      </c>
    </row>
    <row r="307" spans="1:18" ht="17.25" hidden="1" x14ac:dyDescent="0.3">
      <c r="A307" t="s">
        <v>28</v>
      </c>
      <c r="B307" t="str">
        <f t="shared" ref="B307" si="677">IF($G308="","Hide","Show")</f>
        <v>Hide</v>
      </c>
      <c r="C307" t="str">
        <f>"""Ceres4"",""TCP-LIVE"",""14012281"",""1"",""RICE"""</f>
        <v>"Ceres4","TCP-LIVE","14012281","1","RICE"</v>
      </c>
      <c r="D307" t="s">
        <v>59</v>
      </c>
      <c r="E307" s="9" t="s">
        <v>10</v>
      </c>
      <c r="F307" s="2"/>
      <c r="G307" s="8" t="s">
        <v>67</v>
      </c>
    </row>
    <row r="308" spans="1:18" hidden="1" x14ac:dyDescent="0.25">
      <c r="A308" t="s">
        <v>28</v>
      </c>
      <c r="B308" t="str">
        <f t="shared" ref="B308" si="678">IF($G308="","Hide","Show")</f>
        <v>Hide</v>
      </c>
      <c r="E308" s="1"/>
      <c r="F308" t="s">
        <v>29</v>
      </c>
      <c r="G308" t="s">
        <v>29</v>
      </c>
      <c r="H308" t="s">
        <v>29</v>
      </c>
      <c r="I308" s="5" t="s">
        <v>29</v>
      </c>
      <c r="J308" s="5" t="s">
        <v>29</v>
      </c>
      <c r="K308" s="5" t="s">
        <v>73</v>
      </c>
      <c r="L308">
        <f t="shared" ref="L308" si="679">IFERROR(IF(K308*J308=0,"0",K308*J308),0)</f>
        <v>0</v>
      </c>
      <c r="M308" s="5" t="s">
        <v>29</v>
      </c>
      <c r="N308" t="e">
        <f t="shared" ref="N308" si="680">IF(M308*J308=0,"0",M308*J308)</f>
        <v>#VALUE!</v>
      </c>
      <c r="O308" s="5" t="s">
        <v>29</v>
      </c>
      <c r="P308" s="5" t="s">
        <v>29</v>
      </c>
      <c r="Q308" s="5" t="e">
        <f t="shared" ref="Q308" si="681">P308*O308</f>
        <v>#VALUE!</v>
      </c>
      <c r="R308" s="6" t="str">
        <f t="shared" ref="R308" si="682">IFERROR(Q308+N308+L308,"")</f>
        <v/>
      </c>
    </row>
    <row r="309" spans="1:18" hidden="1" x14ac:dyDescent="0.25">
      <c r="A309" t="s">
        <v>28</v>
      </c>
      <c r="B309" t="str">
        <f t="shared" ref="B309" si="683">IF($G308="","Hide","Show")</f>
        <v>Hide</v>
      </c>
      <c r="H309" t="s">
        <v>29</v>
      </c>
    </row>
    <row r="310" spans="1:18" hidden="1" x14ac:dyDescent="0.25">
      <c r="A310" t="s">
        <v>28</v>
      </c>
      <c r="B310" t="str">
        <f t="shared" ref="B310" si="684">IF($G308="","Hide","Show")</f>
        <v>Hide</v>
      </c>
    </row>
    <row r="311" spans="1:18" ht="17.25" hidden="1" x14ac:dyDescent="0.3">
      <c r="A311" t="s">
        <v>28</v>
      </c>
      <c r="B311" t="str">
        <f t="shared" ref="B311" si="685">IF($G312="","Hide","Show")</f>
        <v>Hide</v>
      </c>
      <c r="C311" t="str">
        <f>"""Ceres4"",""TCP-LIVE"",""14012281"",""1"",""SALVAGE"""</f>
        <v>"Ceres4","TCP-LIVE","14012281","1","SALVAGE"</v>
      </c>
      <c r="D311" t="s">
        <v>60</v>
      </c>
      <c r="E311" s="9" t="s">
        <v>10</v>
      </c>
      <c r="F311" s="2"/>
      <c r="G311" s="8" t="s">
        <v>68</v>
      </c>
    </row>
    <row r="312" spans="1:18" hidden="1" x14ac:dyDescent="0.25">
      <c r="A312" t="s">
        <v>28</v>
      </c>
      <c r="B312" t="str">
        <f t="shared" ref="B312" si="686">IF($G312="","Hide","Show")</f>
        <v>Hide</v>
      </c>
      <c r="E312" s="1"/>
      <c r="F312" t="s">
        <v>29</v>
      </c>
      <c r="G312" t="s">
        <v>29</v>
      </c>
      <c r="H312" t="s">
        <v>29</v>
      </c>
      <c r="I312" s="5" t="s">
        <v>29</v>
      </c>
      <c r="J312" s="5" t="s">
        <v>29</v>
      </c>
      <c r="K312" s="5" t="s">
        <v>73</v>
      </c>
      <c r="L312">
        <f t="shared" ref="L312" si="687">IFERROR(IF(K312*J312=0,"0",K312*J312),0)</f>
        <v>0</v>
      </c>
      <c r="M312" s="5" t="s">
        <v>29</v>
      </c>
      <c r="N312" t="e">
        <f t="shared" ref="N312" si="688">IF(M312*J312=0,"0",M312*J312)</f>
        <v>#VALUE!</v>
      </c>
      <c r="O312" s="5" t="s">
        <v>29</v>
      </c>
      <c r="P312" s="5" t="s">
        <v>29</v>
      </c>
      <c r="Q312" s="5" t="e">
        <f t="shared" ref="Q312" si="689">P312*O312</f>
        <v>#VALUE!</v>
      </c>
      <c r="R312" s="6" t="str">
        <f t="shared" ref="R312" si="690">IFERROR(Q312+N312+L312,"")</f>
        <v/>
      </c>
    </row>
    <row r="313" spans="1:18" hidden="1" x14ac:dyDescent="0.25">
      <c r="A313" t="s">
        <v>28</v>
      </c>
      <c r="B313" t="str">
        <f t="shared" ref="B313" si="691">IF($G312="","Hide","Show")</f>
        <v>Hide</v>
      </c>
      <c r="H313" t="s">
        <v>29</v>
      </c>
    </row>
    <row r="314" spans="1:18" hidden="1" x14ac:dyDescent="0.25">
      <c r="A314" t="s">
        <v>28</v>
      </c>
      <c r="B314" t="str">
        <f t="shared" ref="B314" si="692">IF($G312="","Hide","Show")</f>
        <v>Hide</v>
      </c>
    </row>
    <row r="315" spans="1:18" ht="17.25" x14ac:dyDescent="0.3">
      <c r="A315" t="s">
        <v>28</v>
      </c>
      <c r="B315" t="str">
        <f t="shared" ref="B315" si="693">IF($G316="","Hide","Show")</f>
        <v>Show</v>
      </c>
      <c r="C315" t="str">
        <f>"""Ceres4"",""TCP-LIVE"",""14012281"",""1"",""SNACK"""</f>
        <v>"Ceres4","TCP-LIVE","14012281","1","SNACK"</v>
      </c>
      <c r="D315" t="s">
        <v>61</v>
      </c>
      <c r="E315" s="9" t="s">
        <v>10</v>
      </c>
      <c r="F315" s="2"/>
      <c r="G315" s="8" t="s">
        <v>69</v>
      </c>
    </row>
    <row r="316" spans="1:18" x14ac:dyDescent="0.25">
      <c r="A316" t="s">
        <v>28</v>
      </c>
      <c r="B316" t="str">
        <f t="shared" ref="B316:B328" si="694">IF($G316="","Hide","Show")</f>
        <v>Show</v>
      </c>
      <c r="E316" s="1"/>
      <c r="F316" t="s">
        <v>80</v>
      </c>
      <c r="G316" t="str">
        <f>"600053"</f>
        <v>600053</v>
      </c>
      <c r="H316" t="str">
        <f>"Snack - Sweet and Salty Nut Almond"</f>
        <v>Snack - Sweet and Salty Nut Almond</v>
      </c>
      <c r="I316" s="5" t="str">
        <f>"CS"</f>
        <v>CS</v>
      </c>
      <c r="J316" s="5">
        <v>4</v>
      </c>
      <c r="K316" s="5">
        <v>0.19</v>
      </c>
      <c r="L316">
        <f t="shared" ref="L316" si="695">IFERROR(IF(K316*J316=0,"0",K316*J316),0)</f>
        <v>0.76</v>
      </c>
      <c r="M316" s="5">
        <v>0</v>
      </c>
      <c r="N316" t="str">
        <f t="shared" ref="N316" si="696">IF(M316*J316=0,"0",M316*J316)</f>
        <v>0</v>
      </c>
      <c r="O316" s="5">
        <v>1</v>
      </c>
      <c r="P316" s="5">
        <v>0</v>
      </c>
      <c r="Q316" s="5">
        <f t="shared" ref="Q316" si="697">P316*O316</f>
        <v>0</v>
      </c>
      <c r="R316" s="6">
        <f t="shared" ref="R316" si="698">IFERROR(Q316+N316+L316,"")</f>
        <v>0.76</v>
      </c>
    </row>
    <row r="317" spans="1:18" x14ac:dyDescent="0.25">
      <c r="A317" t="s">
        <v>28</v>
      </c>
      <c r="B317" t="str">
        <f t="shared" ref="B317" si="699">IF($G316="","Hide","Show")</f>
        <v>Show</v>
      </c>
      <c r="H317" t="str">
        <f>"12-7 oz"</f>
        <v>12-7 oz</v>
      </c>
    </row>
    <row r="318" spans="1:18" x14ac:dyDescent="0.25">
      <c r="A318" t="s">
        <v>28</v>
      </c>
      <c r="B318" t="str">
        <f t="shared" si="694"/>
        <v>Show</v>
      </c>
      <c r="E318" s="1"/>
      <c r="F318" t="str">
        <f>"""Ceres4"",""TCP-LIVE"",""27"",""1"",""600059"""</f>
        <v>"Ceres4","TCP-LIVE","27","1","600059"</v>
      </c>
      <c r="G318" t="str">
        <f>"600059"</f>
        <v>600059</v>
      </c>
      <c r="H318" t="str">
        <f>"Snack - Oatmeal Raisin Flax Soft Baked Cookies"</f>
        <v>Snack - Oatmeal Raisin Flax Soft Baked Cookies</v>
      </c>
      <c r="I318" s="5" t="str">
        <f>"CS"</f>
        <v>CS</v>
      </c>
      <c r="J318" s="5">
        <v>3</v>
      </c>
      <c r="K318" s="5">
        <v>0.19</v>
      </c>
      <c r="L318">
        <f t="shared" ref="L318" si="700">IFERROR(IF(K318*J318=0,"0",K318*J318),0)</f>
        <v>0.57000000000000006</v>
      </c>
      <c r="M318" s="5">
        <v>0</v>
      </c>
      <c r="N318" t="str">
        <f t="shared" ref="N318" si="701">IF(M318*J318=0,"0",M318*J318)</f>
        <v>0</v>
      </c>
      <c r="O318" s="5">
        <v>1</v>
      </c>
      <c r="P318" s="5">
        <v>0</v>
      </c>
      <c r="Q318" s="5">
        <f t="shared" ref="Q318" si="702">P318*O318</f>
        <v>0</v>
      </c>
      <c r="R318" s="6">
        <f t="shared" ref="R318" si="703">IFERROR(Q318+N318+L318,"")</f>
        <v>0.57000000000000006</v>
      </c>
    </row>
    <row r="319" spans="1:18" x14ac:dyDescent="0.25">
      <c r="A319" t="s">
        <v>28</v>
      </c>
      <c r="B319" t="str">
        <f t="shared" ref="B319" si="704">IF($G318="","Hide","Show")</f>
        <v>Show</v>
      </c>
      <c r="H319" t="str">
        <f>"4-8 oz"</f>
        <v>4-8 oz</v>
      </c>
    </row>
    <row r="320" spans="1:18" x14ac:dyDescent="0.25">
      <c r="A320" t="s">
        <v>28</v>
      </c>
      <c r="B320" t="str">
        <f t="shared" si="694"/>
        <v>Show</v>
      </c>
      <c r="E320" s="1"/>
      <c r="F320" t="str">
        <f>"""Ceres4"",""TCP-LIVE"",""27"",""1"",""600436"""</f>
        <v>"Ceres4","TCP-LIVE","27","1","600436"</v>
      </c>
      <c r="G320" t="str">
        <f>"600436"</f>
        <v>600436</v>
      </c>
      <c r="H320" t="str">
        <f>"Snack - Crackers Better Cheddar "</f>
        <v xml:space="preserve">Snack - Crackers Better Cheddar </v>
      </c>
      <c r="I320" s="5" t="str">
        <f>"CS"</f>
        <v>CS</v>
      </c>
      <c r="J320" s="5">
        <v>4</v>
      </c>
      <c r="K320" s="5">
        <v>0.19</v>
      </c>
      <c r="L320">
        <f t="shared" ref="L320" si="705">IFERROR(IF(K320*J320=0,"0",K320*J320),0)</f>
        <v>0.76</v>
      </c>
      <c r="M320" s="5">
        <v>0</v>
      </c>
      <c r="N320" t="str">
        <f t="shared" ref="N320" si="706">IF(M320*J320=0,"0",M320*J320)</f>
        <v>0</v>
      </c>
      <c r="O320" s="5">
        <v>1</v>
      </c>
      <c r="P320" s="5">
        <v>0</v>
      </c>
      <c r="Q320" s="5">
        <f t="shared" ref="Q320" si="707">P320*O320</f>
        <v>0</v>
      </c>
      <c r="R320" s="6">
        <f t="shared" ref="R320" si="708">IFERROR(Q320+N320+L320,"")</f>
        <v>0.76</v>
      </c>
    </row>
    <row r="321" spans="1:18" x14ac:dyDescent="0.25">
      <c r="A321" t="s">
        <v>28</v>
      </c>
      <c r="B321" t="str">
        <f t="shared" ref="B321" si="709">IF($G320="","Hide","Show")</f>
        <v>Show</v>
      </c>
      <c r="H321" t="str">
        <f>"6-6 oz"</f>
        <v>6-6 oz</v>
      </c>
    </row>
    <row r="322" spans="1:18" x14ac:dyDescent="0.25">
      <c r="A322" t="s">
        <v>28</v>
      </c>
      <c r="B322" t="str">
        <f t="shared" si="694"/>
        <v>Show</v>
      </c>
      <c r="E322" s="1"/>
      <c r="F322" t="str">
        <f>"""Ceres4"",""TCP-LIVE"",""27"",""1"",""601275"""</f>
        <v>"Ceres4","TCP-LIVE","27","1","601275"</v>
      </c>
      <c r="G322" t="str">
        <f>"601275"</f>
        <v>601275</v>
      </c>
      <c r="H322" t="str">
        <f>"Snack - Sunflower Seeds Jalapeno Hot"</f>
        <v>Snack - Sunflower Seeds Jalapeno Hot</v>
      </c>
      <c r="I322" s="5" t="str">
        <f>"CS"</f>
        <v>CS</v>
      </c>
      <c r="J322" s="5">
        <v>5</v>
      </c>
      <c r="K322" s="5">
        <v>0.19</v>
      </c>
      <c r="L322">
        <f t="shared" ref="L322" si="710">IFERROR(IF(K322*J322=0,"0",K322*J322),0)</f>
        <v>0.95</v>
      </c>
      <c r="M322" s="5">
        <v>0</v>
      </c>
      <c r="N322" t="str">
        <f t="shared" ref="N322" si="711">IF(M322*J322=0,"0",M322*J322)</f>
        <v>0</v>
      </c>
      <c r="O322" s="5">
        <v>1</v>
      </c>
      <c r="P322" s="5">
        <v>0</v>
      </c>
      <c r="Q322" s="5">
        <f t="shared" ref="Q322" si="712">P322*O322</f>
        <v>0</v>
      </c>
      <c r="R322" s="6">
        <f t="shared" ref="R322" si="713">IFERROR(Q322+N322+L322,"")</f>
        <v>0.95</v>
      </c>
    </row>
    <row r="323" spans="1:18" x14ac:dyDescent="0.25">
      <c r="A323" t="s">
        <v>28</v>
      </c>
      <c r="B323" t="str">
        <f t="shared" ref="B323" si="714">IF($G322="","Hide","Show")</f>
        <v>Show</v>
      </c>
      <c r="H323" t="str">
        <f>"12-5 oz"</f>
        <v>12-5 oz</v>
      </c>
    </row>
    <row r="324" spans="1:18" x14ac:dyDescent="0.25">
      <c r="A324" t="s">
        <v>28</v>
      </c>
      <c r="B324" t="str">
        <f t="shared" si="694"/>
        <v>Show</v>
      </c>
      <c r="E324" s="1"/>
      <c r="F324" t="str">
        <f>"""Ceres4"",""TCP-LIVE"",""27"",""1"",""601768"""</f>
        <v>"Ceres4","TCP-LIVE","27","1","601768"</v>
      </c>
      <c r="G324" t="str">
        <f>"601768"</f>
        <v>601768</v>
      </c>
      <c r="H324" t="str">
        <f>"Snack-Fruit and Nut Trail Mix"</f>
        <v>Snack-Fruit and Nut Trail Mix</v>
      </c>
      <c r="I324" s="5" t="str">
        <f>"CS"</f>
        <v>CS</v>
      </c>
      <c r="J324" s="5">
        <v>5</v>
      </c>
      <c r="K324" s="5">
        <v>0.19</v>
      </c>
      <c r="L324">
        <f t="shared" ref="L324" si="715">IFERROR(IF(K324*J324=0,"0",K324*J324),0)</f>
        <v>0.95</v>
      </c>
      <c r="M324" s="5">
        <v>0</v>
      </c>
      <c r="N324" t="str">
        <f t="shared" ref="N324" si="716">IF(M324*J324=0,"0",M324*J324)</f>
        <v>0</v>
      </c>
      <c r="O324" s="5">
        <v>1</v>
      </c>
      <c r="P324" s="5">
        <v>0</v>
      </c>
      <c r="Q324" s="5">
        <f t="shared" ref="Q324" si="717">P324*O324</f>
        <v>0</v>
      </c>
      <c r="R324" s="6">
        <f t="shared" ref="R324" si="718">IFERROR(Q324+N324+L324,"")</f>
        <v>0.95</v>
      </c>
    </row>
    <row r="325" spans="1:18" x14ac:dyDescent="0.25">
      <c r="A325" t="s">
        <v>28</v>
      </c>
      <c r="B325" t="str">
        <f t="shared" ref="B325" si="719">IF($G324="","Hide","Show")</f>
        <v>Show</v>
      </c>
      <c r="H325" t="str">
        <f>"48- 1 oz"</f>
        <v>48- 1 oz</v>
      </c>
    </row>
    <row r="326" spans="1:18" x14ac:dyDescent="0.25">
      <c r="A326" t="s">
        <v>28</v>
      </c>
      <c r="B326" t="str">
        <f t="shared" si="694"/>
        <v>Show</v>
      </c>
      <c r="E326" s="1"/>
      <c r="F326" t="str">
        <f>"""Ceres4"",""TCP-LIVE"",""27"",""1"",""601775"""</f>
        <v>"Ceres4","TCP-LIVE","27","1","601775"</v>
      </c>
      <c r="G326" t="str">
        <f>"601775"</f>
        <v>601775</v>
      </c>
      <c r="H326" t="str">
        <f>"Snack - Granola Bar Chocolate Chip"</f>
        <v>Snack - Granola Bar Chocolate Chip</v>
      </c>
      <c r="I326" s="5" t="str">
        <f>"CS"</f>
        <v>CS</v>
      </c>
      <c r="J326" s="5">
        <v>6</v>
      </c>
      <c r="K326" s="5">
        <v>0.19</v>
      </c>
      <c r="L326">
        <f t="shared" ref="L326" si="720">IFERROR(IF(K326*J326=0,"0",K326*J326),0)</f>
        <v>1.1400000000000001</v>
      </c>
      <c r="M326" s="5">
        <v>0</v>
      </c>
      <c r="N326" t="str">
        <f t="shared" ref="N326" si="721">IF(M326*J326=0,"0",M326*J326)</f>
        <v>0</v>
      </c>
      <c r="O326" s="5">
        <v>1</v>
      </c>
      <c r="P326" s="5">
        <v>0</v>
      </c>
      <c r="Q326" s="5">
        <f t="shared" ref="Q326" si="722">P326*O326</f>
        <v>0</v>
      </c>
      <c r="R326" s="6">
        <f t="shared" ref="R326" si="723">IFERROR(Q326+N326+L326,"")</f>
        <v>1.1400000000000001</v>
      </c>
    </row>
    <row r="327" spans="1:18" x14ac:dyDescent="0.25">
      <c r="A327" t="s">
        <v>28</v>
      </c>
      <c r="B327" t="str">
        <f t="shared" ref="B327" si="724">IF($G326="","Hide","Show")</f>
        <v>Show</v>
      </c>
      <c r="H327" t="str">
        <f>"12-7 oz"</f>
        <v>12-7 oz</v>
      </c>
    </row>
    <row r="328" spans="1:18" x14ac:dyDescent="0.25">
      <c r="A328" t="s">
        <v>28</v>
      </c>
      <c r="B328" t="str">
        <f t="shared" si="694"/>
        <v>Show</v>
      </c>
      <c r="E328" s="1"/>
      <c r="F328" t="str">
        <f>"""Ceres4"",""TCP-LIVE"",""27"",""1"",""601789"""</f>
        <v>"Ceres4","TCP-LIVE","27","1","601789"</v>
      </c>
      <c r="G328" t="str">
        <f>"601789"</f>
        <v>601789</v>
      </c>
      <c r="H328" t="str">
        <f>"Snack - Nut Bar"</f>
        <v>Snack - Nut Bar</v>
      </c>
      <c r="I328" s="5" t="str">
        <f>"CS"</f>
        <v>CS</v>
      </c>
      <c r="J328" s="5">
        <v>4</v>
      </c>
      <c r="K328" s="5">
        <v>0.19</v>
      </c>
      <c r="L328">
        <f t="shared" ref="L328" si="725">IFERROR(IF(K328*J328=0,"0",K328*J328),0)</f>
        <v>0.76</v>
      </c>
      <c r="M328" s="5">
        <v>0</v>
      </c>
      <c r="N328" t="str">
        <f t="shared" ref="N328" si="726">IF(M328*J328=0,"0",M328*J328)</f>
        <v>0</v>
      </c>
      <c r="O328" s="5">
        <v>1</v>
      </c>
      <c r="P328" s="5">
        <v>0</v>
      </c>
      <c r="Q328" s="5">
        <f t="shared" ref="Q328" si="727">P328*O328</f>
        <v>0</v>
      </c>
      <c r="R328" s="6">
        <f t="shared" ref="R328" si="728">IFERROR(Q328+N328+L328,"")</f>
        <v>0.76</v>
      </c>
    </row>
    <row r="329" spans="1:18" x14ac:dyDescent="0.25">
      <c r="A329" t="s">
        <v>28</v>
      </c>
      <c r="B329" t="str">
        <f t="shared" ref="B329" si="729">IF($G328="","Hide","Show")</f>
        <v>Show</v>
      </c>
      <c r="H329" t="str">
        <f>"12-5 oz"</f>
        <v>12-5 oz</v>
      </c>
    </row>
    <row r="330" spans="1:18" x14ac:dyDescent="0.25">
      <c r="A330" t="s">
        <v>28</v>
      </c>
      <c r="B330" t="str">
        <f t="shared" ref="B330" si="730">IF($G316="","Hide","Show")</f>
        <v>Show</v>
      </c>
    </row>
    <row r="331" spans="1:18" ht="17.25" hidden="1" x14ac:dyDescent="0.3">
      <c r="A331" t="s">
        <v>28</v>
      </c>
      <c r="B331" t="str">
        <f t="shared" ref="B331" si="731">IF($G332="","Hide","Show")</f>
        <v>Hide</v>
      </c>
      <c r="C331" t="str">
        <f>"""Ceres4"",""TCP-LIVE"",""14012281"",""1"",""SOUP"""</f>
        <v>"Ceres4","TCP-LIVE","14012281","1","SOUP"</v>
      </c>
      <c r="D331" t="s">
        <v>62</v>
      </c>
      <c r="E331" s="9" t="s">
        <v>10</v>
      </c>
      <c r="F331" s="2"/>
      <c r="G331" s="8" t="s">
        <v>70</v>
      </c>
    </row>
    <row r="332" spans="1:18" hidden="1" x14ac:dyDescent="0.25">
      <c r="A332" t="s">
        <v>28</v>
      </c>
      <c r="B332" t="str">
        <f t="shared" ref="B332" si="732">IF($G332="","Hide","Show")</f>
        <v>Hide</v>
      </c>
      <c r="E332" s="1"/>
      <c r="F332" t="s">
        <v>29</v>
      </c>
      <c r="G332" t="s">
        <v>29</v>
      </c>
      <c r="H332" t="s">
        <v>29</v>
      </c>
      <c r="I332" s="5" t="s">
        <v>29</v>
      </c>
      <c r="J332" s="5" t="s">
        <v>29</v>
      </c>
      <c r="K332" s="5" t="s">
        <v>73</v>
      </c>
      <c r="L332">
        <f t="shared" ref="L332" si="733">IFERROR(IF(K332*J332=0,"0",K332*J332),0)</f>
        <v>0</v>
      </c>
      <c r="M332" s="5" t="s">
        <v>29</v>
      </c>
      <c r="N332" t="e">
        <f t="shared" ref="N332" si="734">IF(M332*J332=0,"0",M332*J332)</f>
        <v>#VALUE!</v>
      </c>
      <c r="O332" s="5" t="s">
        <v>29</v>
      </c>
      <c r="P332" s="5" t="s">
        <v>29</v>
      </c>
      <c r="Q332" s="5" t="e">
        <f t="shared" ref="Q332" si="735">P332*O332</f>
        <v>#VALUE!</v>
      </c>
      <c r="R332" s="6" t="str">
        <f t="shared" ref="R332" si="736">IFERROR(Q332+N332+L332,"")</f>
        <v/>
      </c>
    </row>
    <row r="333" spans="1:18" hidden="1" x14ac:dyDescent="0.25">
      <c r="A333" t="s">
        <v>28</v>
      </c>
      <c r="B333" t="str">
        <f t="shared" ref="B333" si="737">IF($G332="","Hide","Show")</f>
        <v>Hide</v>
      </c>
      <c r="H333" t="s">
        <v>29</v>
      </c>
    </row>
    <row r="334" spans="1:18" hidden="1" x14ac:dyDescent="0.25">
      <c r="A334" t="s">
        <v>28</v>
      </c>
      <c r="B334" t="str">
        <f t="shared" ref="B334" si="738">IF($G332="","Hide","Show")</f>
        <v>Hide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Cheif Operating</cp:lastModifiedBy>
  <cp:lastPrinted>2013-11-07T23:23:16Z</cp:lastPrinted>
  <dcterms:created xsi:type="dcterms:W3CDTF">2013-03-28T16:24:23Z</dcterms:created>
  <dcterms:modified xsi:type="dcterms:W3CDTF">2017-11-21T15:58:22Z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</Properties>
</file>